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120" yWindow="105" windowWidth="20115" windowHeight="8760"/>
  </bookViews>
  <sheets>
    <sheet name="Datein" sheetId="4" r:id="rId1"/>
  </sheets>
  <calcPr calcId="125725"/>
</workbook>
</file>

<file path=xl/calcChain.xml><?xml version="1.0" encoding="utf-8"?>
<calcChain xmlns="http://schemas.openxmlformats.org/spreadsheetml/2006/main">
  <c r="I3408" i="4"/>
  <c r="H3408"/>
  <c r="I3406"/>
  <c r="H3406"/>
  <c r="I3404"/>
  <c r="H3404"/>
  <c r="I3402"/>
  <c r="H3402"/>
  <c r="P2522"/>
  <c r="O2522"/>
  <c r="N2522"/>
  <c r="M2522"/>
  <c r="L2522"/>
  <c r="K2522"/>
  <c r="J2522"/>
  <c r="I2522"/>
  <c r="H733"/>
  <c r="R733" s="1"/>
  <c r="G733"/>
  <c r="Q733"/>
  <c r="J491"/>
  <c r="I491"/>
  <c r="R4643"/>
  <c r="S4640"/>
  <c r="R4640"/>
  <c r="S4637"/>
  <c r="R4637"/>
  <c r="S4634"/>
  <c r="R4634"/>
  <c r="S4631"/>
  <c r="R4631"/>
  <c r="S4628"/>
  <c r="R4628"/>
  <c r="S4625"/>
  <c r="R4625"/>
  <c r="S4622"/>
  <c r="R4622"/>
  <c r="S4619"/>
  <c r="R4619"/>
  <c r="R4616"/>
  <c r="S4581"/>
  <c r="R4581"/>
  <c r="S4578"/>
  <c r="R4578"/>
  <c r="S4575"/>
  <c r="R4575"/>
  <c r="S4572"/>
  <c r="R4572"/>
  <c r="S4569"/>
  <c r="R4569"/>
  <c r="S4566"/>
  <c r="R4566"/>
  <c r="S4563"/>
  <c r="R4563"/>
  <c r="S4560"/>
  <c r="R4560"/>
  <c r="I4663" l="1"/>
  <c r="H4663"/>
  <c r="O4662"/>
  <c r="N4662"/>
  <c r="I4662"/>
  <c r="H4662"/>
  <c r="H4660" s="1"/>
  <c r="G4662"/>
  <c r="F4662"/>
  <c r="F4660" s="1"/>
  <c r="I4660"/>
  <c r="G4660"/>
  <c r="N4657"/>
  <c r="O28"/>
  <c r="O4647"/>
  <c r="A4662" l="1"/>
  <c r="B4662" s="1"/>
  <c r="C4662" l="1"/>
  <c r="K4662" s="1"/>
  <c r="K4660" s="1"/>
  <c r="J4662" l="1"/>
  <c r="J4660" s="1"/>
  <c r="L4662"/>
  <c r="L4660" s="1"/>
  <c r="M4662"/>
  <c r="M4660" s="1"/>
  <c r="F4448" l="1"/>
  <c r="D4448" s="1"/>
  <c r="F4447"/>
  <c r="D4447" s="1"/>
  <c r="F4446"/>
  <c r="D4446" s="1"/>
  <c r="D4441"/>
  <c r="D4440"/>
  <c r="D4439"/>
  <c r="D4438"/>
  <c r="D4437"/>
  <c r="D4436"/>
  <c r="D4435"/>
  <c r="D4434"/>
  <c r="D4433"/>
  <c r="D4432"/>
  <c r="I4430"/>
  <c r="I4431" s="1"/>
  <c r="H4430"/>
  <c r="G4430"/>
  <c r="G4431" s="1"/>
  <c r="J4431" s="1"/>
  <c r="J4429"/>
  <c r="D4427"/>
  <c r="B4427"/>
  <c r="D4425"/>
  <c r="C4425"/>
  <c r="B4425"/>
  <c r="D4424"/>
  <c r="B4424"/>
  <c r="D4423"/>
  <c r="B4423"/>
  <c r="D4422"/>
  <c r="B4422"/>
  <c r="D4421"/>
  <c r="D4418"/>
  <c r="D4417"/>
  <c r="D4416"/>
  <c r="D4415"/>
  <c r="D4414"/>
  <c r="D4413"/>
  <c r="J4412"/>
  <c r="J4413" s="1"/>
  <c r="J4414" s="1"/>
  <c r="J4415" s="1"/>
  <c r="J4416" s="1"/>
  <c r="D4412"/>
  <c r="D4411"/>
  <c r="D4410"/>
  <c r="C4410"/>
  <c r="D4409"/>
  <c r="D4408"/>
  <c r="H4407"/>
  <c r="H4408" s="1"/>
  <c r="H4409" s="1"/>
  <c r="G4407"/>
  <c r="G4408" s="1"/>
  <c r="G4409" s="1"/>
  <c r="G4410" s="1"/>
  <c r="G4411" s="1"/>
  <c r="G4444" s="1"/>
  <c r="D4407"/>
  <c r="V4406"/>
  <c r="V4407" s="1"/>
  <c r="J4406"/>
  <c r="H4412" s="1"/>
  <c r="I4406"/>
  <c r="K4406" s="1"/>
  <c r="D4406"/>
  <c r="I4405"/>
  <c r="J4405" s="1"/>
  <c r="O4394"/>
  <c r="H4410" l="1"/>
  <c r="H4411" s="1"/>
  <c r="I4404"/>
  <c r="H4431"/>
  <c r="G4413"/>
  <c r="I4413" s="1"/>
  <c r="M4406"/>
  <c r="K4407"/>
  <c r="K4408" s="1"/>
  <c r="K4409" s="1"/>
  <c r="K4410" s="1"/>
  <c r="L4432"/>
  <c r="N4432" s="1"/>
  <c r="V4408"/>
  <c r="J4417"/>
  <c r="L4406"/>
  <c r="I4407"/>
  <c r="I4408" s="1"/>
  <c r="I4409" s="1"/>
  <c r="I4410" s="1"/>
  <c r="I4411" s="1"/>
  <c r="G4412"/>
  <c r="I4412" s="1"/>
  <c r="H4421"/>
  <c r="J4430"/>
  <c r="J4407"/>
  <c r="J4408" s="1"/>
  <c r="J4409" s="1"/>
  <c r="J4410" s="1"/>
  <c r="J4411" s="1"/>
  <c r="H4422" l="1"/>
  <c r="H4423" s="1"/>
  <c r="H4424" s="1"/>
  <c r="H4425" s="1"/>
  <c r="H4427" s="1"/>
  <c r="N4421"/>
  <c r="N4422" s="1"/>
  <c r="J4421"/>
  <c r="V4409"/>
  <c r="L4433"/>
  <c r="N4433" s="1"/>
  <c r="L4407"/>
  <c r="L4408" s="1"/>
  <c r="L4409" s="1"/>
  <c r="L4410" s="1"/>
  <c r="H4413"/>
  <c r="N4406"/>
  <c r="K4404"/>
  <c r="J4418"/>
  <c r="H4444"/>
  <c r="J4444" s="1"/>
  <c r="L4444" s="1"/>
  <c r="G4419"/>
  <c r="G4417"/>
  <c r="I4417" s="1"/>
  <c r="K4411"/>
  <c r="G4418" s="1"/>
  <c r="I4418" s="1"/>
  <c r="O4406"/>
  <c r="G4414"/>
  <c r="I4414" s="1"/>
  <c r="M4407"/>
  <c r="M4408" s="1"/>
  <c r="M4409" s="1"/>
  <c r="M4410" s="1"/>
  <c r="M4404"/>
  <c r="I4419" l="1"/>
  <c r="I4447"/>
  <c r="F4419"/>
  <c r="H4417"/>
  <c r="L4411"/>
  <c r="H4418" s="1"/>
  <c r="N4434"/>
  <c r="P4434" s="1"/>
  <c r="V4410"/>
  <c r="J4438"/>
  <c r="L4438" s="1"/>
  <c r="N4423"/>
  <c r="G4435"/>
  <c r="Q4435" s="1"/>
  <c r="G4420"/>
  <c r="M4411"/>
  <c r="I4436" s="1"/>
  <c r="G4415"/>
  <c r="I4415" s="1"/>
  <c r="Q4406"/>
  <c r="O4407"/>
  <c r="O4408" s="1"/>
  <c r="O4409" s="1"/>
  <c r="J4422"/>
  <c r="J4423" s="1"/>
  <c r="J4424" s="1"/>
  <c r="J4425" s="1"/>
  <c r="J4427" s="1"/>
  <c r="L4421"/>
  <c r="L4422" s="1"/>
  <c r="H4414"/>
  <c r="N4407"/>
  <c r="N4408" s="1"/>
  <c r="N4409" s="1"/>
  <c r="N4410" s="1"/>
  <c r="P4406"/>
  <c r="F4316"/>
  <c r="F4317" s="1"/>
  <c r="F4318" s="1"/>
  <c r="F4319" s="1"/>
  <c r="F4320" s="1"/>
  <c r="F4321" s="1"/>
  <c r="F4322" s="1"/>
  <c r="F4323" s="1"/>
  <c r="F4324" s="1"/>
  <c r="F4325" s="1"/>
  <c r="F4326" s="1"/>
  <c r="E4316"/>
  <c r="E4317" s="1"/>
  <c r="E4318" s="1"/>
  <c r="E4319" s="1"/>
  <c r="E4320" s="1"/>
  <c r="E4321" s="1"/>
  <c r="E4322" s="1"/>
  <c r="E4323" s="1"/>
  <c r="E4324" s="1"/>
  <c r="E4325" s="1"/>
  <c r="E4326" s="1"/>
  <c r="D4316"/>
  <c r="D4317" s="1"/>
  <c r="D4318" s="1"/>
  <c r="D4319" s="1"/>
  <c r="D4320" s="1"/>
  <c r="D4321" s="1"/>
  <c r="D4322" s="1"/>
  <c r="D4323" s="1"/>
  <c r="D4324" s="1"/>
  <c r="D4325" s="1"/>
  <c r="D4326" s="1"/>
  <c r="H4313"/>
  <c r="H4312"/>
  <c r="H4311"/>
  <c r="H4310"/>
  <c r="H4309"/>
  <c r="G4309"/>
  <c r="G4310" s="1"/>
  <c r="H4308"/>
  <c r="F4308"/>
  <c r="D4308" s="1"/>
  <c r="H4307"/>
  <c r="H4306"/>
  <c r="H4305"/>
  <c r="H4304"/>
  <c r="H4303"/>
  <c r="G4303"/>
  <c r="G4304" s="1"/>
  <c r="H4302"/>
  <c r="F4302"/>
  <c r="D4302" s="1"/>
  <c r="O4301"/>
  <c r="N4301"/>
  <c r="I4301"/>
  <c r="H4301"/>
  <c r="H4288" s="1"/>
  <c r="G4301"/>
  <c r="G4288" s="1"/>
  <c r="F4301"/>
  <c r="F4288" s="1"/>
  <c r="O4300"/>
  <c r="N4300"/>
  <c r="I4300"/>
  <c r="I4287" s="1"/>
  <c r="H4300"/>
  <c r="H4287" s="1"/>
  <c r="G4300"/>
  <c r="F4300"/>
  <c r="F4287" s="1"/>
  <c r="O4299"/>
  <c r="N4299"/>
  <c r="I4299"/>
  <c r="H4299"/>
  <c r="G4299"/>
  <c r="F4299"/>
  <c r="F4280" s="1"/>
  <c r="O4298"/>
  <c r="N4298"/>
  <c r="I4298"/>
  <c r="I4279" s="1"/>
  <c r="H4298"/>
  <c r="H4279" s="1"/>
  <c r="G4298"/>
  <c r="F4298"/>
  <c r="O4297"/>
  <c r="N4297"/>
  <c r="I4297"/>
  <c r="H4297"/>
  <c r="G4297"/>
  <c r="F4297"/>
  <c r="O4296"/>
  <c r="N4296"/>
  <c r="I4296"/>
  <c r="I4277" s="1"/>
  <c r="H4296"/>
  <c r="H4277" s="1"/>
  <c r="G4296"/>
  <c r="F4296"/>
  <c r="O4295"/>
  <c r="N4295"/>
  <c r="I4295"/>
  <c r="H4295"/>
  <c r="H4286" s="1"/>
  <c r="G4295"/>
  <c r="G4286" s="1"/>
  <c r="F4295"/>
  <c r="F4286" s="1"/>
  <c r="O4294"/>
  <c r="N4294"/>
  <c r="I4294"/>
  <c r="I4276" s="1"/>
  <c r="H4294"/>
  <c r="G4294"/>
  <c r="F4294"/>
  <c r="O4293"/>
  <c r="N4293"/>
  <c r="I4293"/>
  <c r="I4285" s="1"/>
  <c r="H4293"/>
  <c r="H4285" s="1"/>
  <c r="G4293"/>
  <c r="F4293"/>
  <c r="F4285" s="1"/>
  <c r="O4292"/>
  <c r="N4292"/>
  <c r="I4292"/>
  <c r="I4284" s="1"/>
  <c r="H4292"/>
  <c r="H4284" s="1"/>
  <c r="G4292"/>
  <c r="F4292"/>
  <c r="F4284" s="1"/>
  <c r="O4291"/>
  <c r="N4291"/>
  <c r="I4291"/>
  <c r="I4283" s="1"/>
  <c r="H4291"/>
  <c r="G4291"/>
  <c r="G4283" s="1"/>
  <c r="F4291"/>
  <c r="F4283" s="1"/>
  <c r="D4291"/>
  <c r="D4292" s="1"/>
  <c r="D4293" s="1"/>
  <c r="D4294" s="1"/>
  <c r="D4295" s="1"/>
  <c r="D4296" s="1"/>
  <c r="D4297" s="1"/>
  <c r="D4298" s="1"/>
  <c r="D4299" s="1"/>
  <c r="D4300" s="1"/>
  <c r="D4301" s="1"/>
  <c r="O4290"/>
  <c r="N4290"/>
  <c r="I4290"/>
  <c r="H4290"/>
  <c r="G4290"/>
  <c r="G4282" s="1"/>
  <c r="F4290"/>
  <c r="F4282" s="1"/>
  <c r="I4288"/>
  <c r="G4287"/>
  <c r="I4286"/>
  <c r="G4285"/>
  <c r="G4284"/>
  <c r="H4283"/>
  <c r="E4283"/>
  <c r="E4284" s="1"/>
  <c r="E4285" s="1"/>
  <c r="D4283"/>
  <c r="D4284" s="1"/>
  <c r="D4285" s="1"/>
  <c r="D4276" s="1"/>
  <c r="D4286" s="1"/>
  <c r="D4277" s="1"/>
  <c r="D4278" s="1"/>
  <c r="D4279" s="1"/>
  <c r="D4280" s="1"/>
  <c r="D4287" s="1"/>
  <c r="D4288" s="1"/>
  <c r="H4282"/>
  <c r="I4280"/>
  <c r="H4280"/>
  <c r="G4280"/>
  <c r="G4279"/>
  <c r="F4279"/>
  <c r="I4278"/>
  <c r="H4278"/>
  <c r="G4278"/>
  <c r="F4278"/>
  <c r="G4277"/>
  <c r="F4277"/>
  <c r="H4276"/>
  <c r="G4276"/>
  <c r="F4276"/>
  <c r="V4274"/>
  <c r="T4274"/>
  <c r="K4274"/>
  <c r="U4273"/>
  <c r="T4273"/>
  <c r="V4272"/>
  <c r="T4272"/>
  <c r="K4272"/>
  <c r="U4271"/>
  <c r="T4271"/>
  <c r="G4271"/>
  <c r="I4271" s="1"/>
  <c r="V4270"/>
  <c r="T4270"/>
  <c r="K4270"/>
  <c r="U4269"/>
  <c r="T4269"/>
  <c r="I4269"/>
  <c r="V4268"/>
  <c r="T4268"/>
  <c r="K4268"/>
  <c r="U4267"/>
  <c r="T4267"/>
  <c r="V4266"/>
  <c r="T4266"/>
  <c r="K4266"/>
  <c r="U4265"/>
  <c r="T4265"/>
  <c r="G4265"/>
  <c r="I4265" s="1"/>
  <c r="V4264"/>
  <c r="T4264"/>
  <c r="K4264"/>
  <c r="U4263"/>
  <c r="T4263"/>
  <c r="I4263"/>
  <c r="V4261"/>
  <c r="V4273" s="1"/>
  <c r="V4259"/>
  <c r="V4271" s="1"/>
  <c r="G4259"/>
  <c r="G4261" s="1"/>
  <c r="I4261" s="1"/>
  <c r="V4257"/>
  <c r="V4269" s="1"/>
  <c r="I4257"/>
  <c r="H4257"/>
  <c r="H4263" s="1"/>
  <c r="V4255"/>
  <c r="V4267" s="1"/>
  <c r="V4253"/>
  <c r="V4265" s="1"/>
  <c r="H4253"/>
  <c r="H4255" s="1"/>
  <c r="J4255" s="1"/>
  <c r="G4253"/>
  <c r="G4255" s="1"/>
  <c r="I4255" s="1"/>
  <c r="L4252"/>
  <c r="L4253" s="1"/>
  <c r="L4254" s="1"/>
  <c r="L4255" s="1"/>
  <c r="L4256" s="1"/>
  <c r="L4257" s="1"/>
  <c r="L4258" s="1"/>
  <c r="L4259" s="1"/>
  <c r="L4260" s="1"/>
  <c r="L4261" s="1"/>
  <c r="L4262" s="1"/>
  <c r="L4263" s="1"/>
  <c r="L4264" s="1"/>
  <c r="L4265" s="1"/>
  <c r="L4266" s="1"/>
  <c r="L4267" s="1"/>
  <c r="L4268" s="1"/>
  <c r="L4269" s="1"/>
  <c r="L4270" s="1"/>
  <c r="L4271" s="1"/>
  <c r="L4272" s="1"/>
  <c r="L4273" s="1"/>
  <c r="L4274" s="1"/>
  <c r="V4251"/>
  <c r="V4263" s="1"/>
  <c r="J4251"/>
  <c r="I4251"/>
  <c r="O4240"/>
  <c r="F4309" l="1"/>
  <c r="D4309" s="1"/>
  <c r="N4271"/>
  <c r="N4265"/>
  <c r="N4257"/>
  <c r="N4263"/>
  <c r="A4290"/>
  <c r="B4290" s="1"/>
  <c r="C4290" s="1"/>
  <c r="N4267"/>
  <c r="N4269"/>
  <c r="N4259"/>
  <c r="N4261"/>
  <c r="G4267"/>
  <c r="I4267" s="1"/>
  <c r="G4273"/>
  <c r="I4273" s="1"/>
  <c r="A4291"/>
  <c r="B4291" s="1"/>
  <c r="C4291" s="1"/>
  <c r="A4292"/>
  <c r="A4293"/>
  <c r="A4294"/>
  <c r="A4295"/>
  <c r="A4296"/>
  <c r="A4297"/>
  <c r="A4298"/>
  <c r="A4299"/>
  <c r="B4299" s="1"/>
  <c r="C4299" s="1"/>
  <c r="A4300"/>
  <c r="A4301"/>
  <c r="P4407"/>
  <c r="P4408" s="1"/>
  <c r="P4409" s="1"/>
  <c r="H4415"/>
  <c r="R4406"/>
  <c r="I4420"/>
  <c r="I4448"/>
  <c r="J4439"/>
  <c r="L4439" s="1"/>
  <c r="N4424"/>
  <c r="P4435"/>
  <c r="R4435" s="1"/>
  <c r="V4411"/>
  <c r="R4436" s="1"/>
  <c r="T4436" s="1"/>
  <c r="H4447"/>
  <c r="H4419"/>
  <c r="O4404"/>
  <c r="H4435"/>
  <c r="F4420"/>
  <c r="N4411"/>
  <c r="J4436" s="1"/>
  <c r="H4437" s="1"/>
  <c r="H4438"/>
  <c r="N4438" s="1"/>
  <c r="L4423"/>
  <c r="G4434"/>
  <c r="O4434" s="1"/>
  <c r="O4410"/>
  <c r="S4406"/>
  <c r="G4416"/>
  <c r="I4416" s="1"/>
  <c r="Q4407"/>
  <c r="Q4404"/>
  <c r="I4444"/>
  <c r="G4437"/>
  <c r="I4437" s="1"/>
  <c r="G4436"/>
  <c r="H4265"/>
  <c r="H4269"/>
  <c r="J4263"/>
  <c r="E4276"/>
  <c r="E4286"/>
  <c r="B4293"/>
  <c r="C4293" s="1"/>
  <c r="B4295"/>
  <c r="C4295" s="1"/>
  <c r="B4297"/>
  <c r="C4297" s="1"/>
  <c r="G4305"/>
  <c r="F4304"/>
  <c r="D4304" s="1"/>
  <c r="F4310"/>
  <c r="D4310" s="1"/>
  <c r="G4311"/>
  <c r="B4292"/>
  <c r="C4292" s="1"/>
  <c r="B4294"/>
  <c r="C4294" s="1"/>
  <c r="B4296"/>
  <c r="C4296" s="1"/>
  <c r="B4298"/>
  <c r="C4298" s="1"/>
  <c r="B4300"/>
  <c r="C4300" s="1"/>
  <c r="B4301"/>
  <c r="C4301" s="1"/>
  <c r="N4273"/>
  <c r="I4253"/>
  <c r="J4257"/>
  <c r="H4259"/>
  <c r="N4251"/>
  <c r="J4253"/>
  <c r="N4253"/>
  <c r="N4255"/>
  <c r="I4259"/>
  <c r="I4282"/>
  <c r="F4303"/>
  <c r="D4303" s="1"/>
  <c r="M4290" l="1"/>
  <c r="M4282" s="1"/>
  <c r="L4290"/>
  <c r="L4282" s="1"/>
  <c r="K4290"/>
  <c r="K4282" s="1"/>
  <c r="J4290"/>
  <c r="J4282" s="1"/>
  <c r="I4435"/>
  <c r="O4411"/>
  <c r="K4436" s="1"/>
  <c r="H4439"/>
  <c r="N4439" s="1"/>
  <c r="L4424"/>
  <c r="H4436"/>
  <c r="H4445" s="1"/>
  <c r="H4446" s="1"/>
  <c r="J4445"/>
  <c r="J4437"/>
  <c r="J4440"/>
  <c r="L4440" s="1"/>
  <c r="N4425"/>
  <c r="H4416"/>
  <c r="R4407"/>
  <c r="T4406"/>
  <c r="T4407" s="1"/>
  <c r="H4434"/>
  <c r="P4410"/>
  <c r="G4445"/>
  <c r="I4445" s="1"/>
  <c r="I4446" s="1"/>
  <c r="K4444"/>
  <c r="S4436"/>
  <c r="Q4408"/>
  <c r="G4432"/>
  <c r="M4432" s="1"/>
  <c r="U4406"/>
  <c r="S4407"/>
  <c r="H4448"/>
  <c r="H4420"/>
  <c r="J4300"/>
  <c r="J4287" s="1"/>
  <c r="L4300"/>
  <c r="L4287" s="1"/>
  <c r="J4298"/>
  <c r="J4279" s="1"/>
  <c r="L4298"/>
  <c r="L4279" s="1"/>
  <c r="J4294"/>
  <c r="J4276" s="1"/>
  <c r="L4294"/>
  <c r="L4276" s="1"/>
  <c r="J4297"/>
  <c r="J4278" s="1"/>
  <c r="L4297"/>
  <c r="L4278" s="1"/>
  <c r="J4293"/>
  <c r="J4285" s="1"/>
  <c r="L4293"/>
  <c r="L4285" s="1"/>
  <c r="J4301"/>
  <c r="J4288" s="1"/>
  <c r="L4301"/>
  <c r="L4288" s="1"/>
  <c r="J4299"/>
  <c r="J4280" s="1"/>
  <c r="L4299"/>
  <c r="L4280" s="1"/>
  <c r="J4296"/>
  <c r="J4277" s="1"/>
  <c r="L4296"/>
  <c r="L4277" s="1"/>
  <c r="J4292"/>
  <c r="J4284" s="1"/>
  <c r="L4292"/>
  <c r="L4284" s="1"/>
  <c r="J4295"/>
  <c r="J4286" s="1"/>
  <c r="L4295"/>
  <c r="L4286" s="1"/>
  <c r="J4291"/>
  <c r="J4283" s="1"/>
  <c r="L4291"/>
  <c r="L4283" s="1"/>
  <c r="H4261"/>
  <c r="J4261" s="1"/>
  <c r="J4259"/>
  <c r="F4311"/>
  <c r="D4311" s="1"/>
  <c r="G4312"/>
  <c r="E4277"/>
  <c r="E4278" s="1"/>
  <c r="E4279" s="1"/>
  <c r="E4287"/>
  <c r="E4288" s="1"/>
  <c r="J4265"/>
  <c r="H4267"/>
  <c r="J4267" s="1"/>
  <c r="M4301"/>
  <c r="M4288" s="1"/>
  <c r="K4301"/>
  <c r="K4288" s="1"/>
  <c r="M4300"/>
  <c r="M4287" s="1"/>
  <c r="K4300"/>
  <c r="K4287" s="1"/>
  <c r="M4299"/>
  <c r="M4280" s="1"/>
  <c r="K4299"/>
  <c r="K4280" s="1"/>
  <c r="M4298"/>
  <c r="M4279" s="1"/>
  <c r="K4298"/>
  <c r="K4279" s="1"/>
  <c r="M4296"/>
  <c r="M4277" s="1"/>
  <c r="K4296"/>
  <c r="K4277" s="1"/>
  <c r="M4294"/>
  <c r="M4276" s="1"/>
  <c r="K4294"/>
  <c r="K4276" s="1"/>
  <c r="M4292"/>
  <c r="M4284" s="1"/>
  <c r="K4292"/>
  <c r="K4284" s="1"/>
  <c r="G4306"/>
  <c r="F4305"/>
  <c r="D4305" s="1"/>
  <c r="M4297"/>
  <c r="M4278" s="1"/>
  <c r="K4297"/>
  <c r="K4278" s="1"/>
  <c r="M4295"/>
  <c r="M4286" s="1"/>
  <c r="K4295"/>
  <c r="K4286" s="1"/>
  <c r="M4293"/>
  <c r="M4285" s="1"/>
  <c r="K4293"/>
  <c r="K4285" s="1"/>
  <c r="M4291"/>
  <c r="M4283" s="1"/>
  <c r="K4291"/>
  <c r="K4283" s="1"/>
  <c r="H4271"/>
  <c r="J4269"/>
  <c r="J4238"/>
  <c r="N4231" s="1"/>
  <c r="D4238"/>
  <c r="J4237"/>
  <c r="N4230" s="1"/>
  <c r="D4237"/>
  <c r="J4236"/>
  <c r="N4229" s="1"/>
  <c r="D4236"/>
  <c r="J4235"/>
  <c r="N4228" s="1"/>
  <c r="D4235"/>
  <c r="J4234"/>
  <c r="D4234"/>
  <c r="J4233"/>
  <c r="N4226" s="1"/>
  <c r="D4233"/>
  <c r="O4231"/>
  <c r="I4231"/>
  <c r="H4231"/>
  <c r="G4231"/>
  <c r="F4231"/>
  <c r="O4230"/>
  <c r="I4230"/>
  <c r="I4223" s="1"/>
  <c r="H4230"/>
  <c r="G4230"/>
  <c r="F4230"/>
  <c r="O4229"/>
  <c r="I4229"/>
  <c r="I4222" s="1"/>
  <c r="H4229"/>
  <c r="G4229"/>
  <c r="F4229"/>
  <c r="F4222" s="1"/>
  <c r="O4228"/>
  <c r="I4228"/>
  <c r="H4228"/>
  <c r="H4221" s="1"/>
  <c r="G4228"/>
  <c r="F4228"/>
  <c r="F4221" s="1"/>
  <c r="O4227"/>
  <c r="N4227"/>
  <c r="I4227"/>
  <c r="H4227"/>
  <c r="H4220" s="1"/>
  <c r="G4227"/>
  <c r="F4227"/>
  <c r="F4220" s="1"/>
  <c r="D4227"/>
  <c r="D4228" s="1"/>
  <c r="D4229" s="1"/>
  <c r="D4230" s="1"/>
  <c r="D4231" s="1"/>
  <c r="O4226"/>
  <c r="I4226"/>
  <c r="H4226"/>
  <c r="H4219" s="1"/>
  <c r="G4226"/>
  <c r="G4219" s="1"/>
  <c r="F4226"/>
  <c r="I4224"/>
  <c r="H4224"/>
  <c r="G4224"/>
  <c r="F4224"/>
  <c r="H4223"/>
  <c r="G4223"/>
  <c r="F4223"/>
  <c r="H4222"/>
  <c r="G4222"/>
  <c r="I4221"/>
  <c r="G4221"/>
  <c r="I4220"/>
  <c r="G4220"/>
  <c r="E4220"/>
  <c r="E4221" s="1"/>
  <c r="E4222" s="1"/>
  <c r="E4223" s="1"/>
  <c r="E4224" s="1"/>
  <c r="D4220"/>
  <c r="D4221" s="1"/>
  <c r="D4222" s="1"/>
  <c r="D4223" s="1"/>
  <c r="D4224" s="1"/>
  <c r="I4219"/>
  <c r="N4216"/>
  <c r="G4216"/>
  <c r="I4216" s="1"/>
  <c r="N4214"/>
  <c r="I4214"/>
  <c r="N4212"/>
  <c r="H4212"/>
  <c r="H4216" s="1"/>
  <c r="J4216" s="1"/>
  <c r="G4212"/>
  <c r="I4212" s="1"/>
  <c r="N4210"/>
  <c r="I4210"/>
  <c r="H4210"/>
  <c r="J4210" s="1"/>
  <c r="N4208"/>
  <c r="J4208"/>
  <c r="G4208"/>
  <c r="I4208" s="1"/>
  <c r="L4207"/>
  <c r="L4208" s="1"/>
  <c r="L4209" s="1"/>
  <c r="L4210" s="1"/>
  <c r="L4211" s="1"/>
  <c r="L4212" s="1"/>
  <c r="L4213" s="1"/>
  <c r="L4214" s="1"/>
  <c r="L4215" s="1"/>
  <c r="L4216" s="1"/>
  <c r="L4217" s="1"/>
  <c r="N4206"/>
  <c r="J4206"/>
  <c r="I4206"/>
  <c r="O4196"/>
  <c r="A4229" l="1"/>
  <c r="A4231"/>
  <c r="A4227"/>
  <c r="A4230"/>
  <c r="B4230" s="1"/>
  <c r="C4230" s="1"/>
  <c r="K4230" s="1"/>
  <c r="K4223" s="1"/>
  <c r="A4228"/>
  <c r="H4432"/>
  <c r="R4408"/>
  <c r="N4427"/>
  <c r="J4441"/>
  <c r="L4441" s="1"/>
  <c r="S4404"/>
  <c r="S4408"/>
  <c r="I4432"/>
  <c r="G4421"/>
  <c r="U4407"/>
  <c r="G4433"/>
  <c r="M4433" s="1"/>
  <c r="Q4409"/>
  <c r="J4435"/>
  <c r="P4411"/>
  <c r="L4436" s="1"/>
  <c r="J4432"/>
  <c r="T4408"/>
  <c r="H4440"/>
  <c r="N4440" s="1"/>
  <c r="L4425"/>
  <c r="J4271"/>
  <c r="H4273"/>
  <c r="J4273" s="1"/>
  <c r="G4307"/>
  <c r="F4307" s="1"/>
  <c r="D4307" s="1"/>
  <c r="F4306"/>
  <c r="D4306" s="1"/>
  <c r="F4312"/>
  <c r="D4312" s="1"/>
  <c r="G4313"/>
  <c r="F4313" s="1"/>
  <c r="D4313" s="1"/>
  <c r="B4228"/>
  <c r="C4228" s="1"/>
  <c r="K4228" s="1"/>
  <c r="K4221" s="1"/>
  <c r="H4214"/>
  <c r="J4214" s="1"/>
  <c r="A4226"/>
  <c r="B4226" s="1"/>
  <c r="B4227"/>
  <c r="C4227" s="1"/>
  <c r="M4227" s="1"/>
  <c r="M4220" s="1"/>
  <c r="B4229"/>
  <c r="C4229" s="1"/>
  <c r="M4229" s="1"/>
  <c r="M4222" s="1"/>
  <c r="J4212"/>
  <c r="F4219"/>
  <c r="B4231"/>
  <c r="C4231" s="1"/>
  <c r="L4231" s="1"/>
  <c r="L4224" s="1"/>
  <c r="L4427" l="1"/>
  <c r="H4441"/>
  <c r="N4441" s="1"/>
  <c r="T4409"/>
  <c r="J4433"/>
  <c r="I4434"/>
  <c r="Q4410"/>
  <c r="U4408"/>
  <c r="K4432"/>
  <c r="G4422"/>
  <c r="G4423" s="1"/>
  <c r="G4424" s="1"/>
  <c r="G4425" s="1"/>
  <c r="G4427" s="1"/>
  <c r="K4421"/>
  <c r="I4421"/>
  <c r="I4422" s="1"/>
  <c r="I4423" s="1"/>
  <c r="I4424" s="1"/>
  <c r="I4425" s="1"/>
  <c r="I4427" s="1"/>
  <c r="I4433"/>
  <c r="S4409"/>
  <c r="R4409"/>
  <c r="H4433"/>
  <c r="L4230"/>
  <c r="L4223" s="1"/>
  <c r="L4227"/>
  <c r="L4220" s="1"/>
  <c r="K4229"/>
  <c r="K4222" s="1"/>
  <c r="K4227"/>
  <c r="K4220" s="1"/>
  <c r="L4229"/>
  <c r="L4222" s="1"/>
  <c r="M4230"/>
  <c r="M4223" s="1"/>
  <c r="M4228"/>
  <c r="M4221" s="1"/>
  <c r="M4231"/>
  <c r="M4224" s="1"/>
  <c r="K4231"/>
  <c r="K4224" s="1"/>
  <c r="J4231"/>
  <c r="J4224" s="1"/>
  <c r="J4230"/>
  <c r="J4223" s="1"/>
  <c r="J4229"/>
  <c r="J4222" s="1"/>
  <c r="J4228"/>
  <c r="J4221" s="1"/>
  <c r="J4227"/>
  <c r="J4220" s="1"/>
  <c r="L4228"/>
  <c r="L4221" s="1"/>
  <c r="C4226"/>
  <c r="M4226" s="1"/>
  <c r="M4219" s="1"/>
  <c r="J4434" l="1"/>
  <c r="R4410"/>
  <c r="K4435"/>
  <c r="Q4411"/>
  <c r="M4436" s="1"/>
  <c r="K4434"/>
  <c r="S4410"/>
  <c r="K4433"/>
  <c r="U4409"/>
  <c r="L4434"/>
  <c r="T4410"/>
  <c r="K4422"/>
  <c r="M4421"/>
  <c r="M4422" s="1"/>
  <c r="J4226"/>
  <c r="J4219" s="1"/>
  <c r="L4226"/>
  <c r="L4219" s="1"/>
  <c r="K4226"/>
  <c r="K4219" s="1"/>
  <c r="S4084"/>
  <c r="T4083"/>
  <c r="T4084" s="1"/>
  <c r="G4080"/>
  <c r="O4076"/>
  <c r="M4423" l="1"/>
  <c r="I4438"/>
  <c r="K4438" s="1"/>
  <c r="M4438" s="1"/>
  <c r="N4435"/>
  <c r="T4411"/>
  <c r="P4436" s="1"/>
  <c r="M4434"/>
  <c r="U4410"/>
  <c r="M4435"/>
  <c r="S4411"/>
  <c r="O4436" s="1"/>
  <c r="L4435"/>
  <c r="R4411"/>
  <c r="N4436" s="1"/>
  <c r="K4423"/>
  <c r="G4438"/>
  <c r="U4083"/>
  <c r="G4439" l="1"/>
  <c r="K4424"/>
  <c r="I4439"/>
  <c r="K4439" s="1"/>
  <c r="M4439" s="1"/>
  <c r="M4424"/>
  <c r="O4435"/>
  <c r="U4411"/>
  <c r="Q4436" s="1"/>
  <c r="U4084"/>
  <c r="V4083"/>
  <c r="I4440" l="1"/>
  <c r="K4440" s="1"/>
  <c r="M4440" s="1"/>
  <c r="M4425"/>
  <c r="G4440"/>
  <c r="K4425"/>
  <c r="V4084"/>
  <c r="W4083"/>
  <c r="D3442"/>
  <c r="D3441"/>
  <c r="D3440"/>
  <c r="H3439"/>
  <c r="J3439" s="1"/>
  <c r="D3439"/>
  <c r="F3438"/>
  <c r="D3438" s="1"/>
  <c r="I3437"/>
  <c r="G3441" s="1"/>
  <c r="I3441" s="1"/>
  <c r="F3437"/>
  <c r="D3437" s="1"/>
  <c r="H3436"/>
  <c r="H3437" s="1"/>
  <c r="F3436"/>
  <c r="D3436" s="1"/>
  <c r="I3435"/>
  <c r="G3439" s="1"/>
  <c r="I3439" s="1"/>
  <c r="F3435"/>
  <c r="D3435" s="1"/>
  <c r="N3434"/>
  <c r="I3434"/>
  <c r="AF3432"/>
  <c r="AC3432"/>
  <c r="AD3432" s="1"/>
  <c r="Z3432"/>
  <c r="W3432"/>
  <c r="X3432" s="1"/>
  <c r="T3432"/>
  <c r="Q3432"/>
  <c r="R3432" s="1"/>
  <c r="D3432"/>
  <c r="I3430"/>
  <c r="I3428"/>
  <c r="H3428"/>
  <c r="H3430" s="1"/>
  <c r="S3426"/>
  <c r="AB3431" s="1"/>
  <c r="R3426"/>
  <c r="S3425"/>
  <c r="Z3431" s="1"/>
  <c r="R3425"/>
  <c r="S3424"/>
  <c r="X3431" s="1"/>
  <c r="R3424"/>
  <c r="S3423"/>
  <c r="V3431" s="1"/>
  <c r="R3423"/>
  <c r="S3422"/>
  <c r="T3431" s="1"/>
  <c r="R3422"/>
  <c r="T3430" s="1"/>
  <c r="G3422"/>
  <c r="S3421"/>
  <c r="R3421"/>
  <c r="O3418"/>
  <c r="I4441" l="1"/>
  <c r="K4441" s="1"/>
  <c r="M4441" s="1"/>
  <c r="M4427"/>
  <c r="G4441"/>
  <c r="K4427"/>
  <c r="W4084"/>
  <c r="X4083"/>
  <c r="U3430"/>
  <c r="V3430" s="1"/>
  <c r="W3430" s="1"/>
  <c r="X3430" s="1"/>
  <c r="Y3430" s="1"/>
  <c r="Z3430" s="1"/>
  <c r="AA3430" s="1"/>
  <c r="AB3430" s="1"/>
  <c r="J3430"/>
  <c r="H3434"/>
  <c r="J3434" s="1"/>
  <c r="H3441"/>
  <c r="J3441" s="1"/>
  <c r="H3438"/>
  <c r="H3442" s="1"/>
  <c r="J3442" s="1"/>
  <c r="R3427"/>
  <c r="T3429"/>
  <c r="X3429"/>
  <c r="AB3429"/>
  <c r="S3432"/>
  <c r="Y3432"/>
  <c r="AE3432"/>
  <c r="I3436"/>
  <c r="G3440" s="1"/>
  <c r="I3440" s="1"/>
  <c r="I3438"/>
  <c r="G3442" s="1"/>
  <c r="I3442" s="1"/>
  <c r="H3440"/>
  <c r="J3440" s="1"/>
  <c r="J3428"/>
  <c r="T3428"/>
  <c r="V3429"/>
  <c r="Z3429"/>
  <c r="X4084" l="1"/>
  <c r="Y4083"/>
  <c r="N3430"/>
  <c r="U3428"/>
  <c r="V3428" s="1"/>
  <c r="W3428" s="1"/>
  <c r="X3428" s="1"/>
  <c r="Y3428" s="1"/>
  <c r="Z3428" s="1"/>
  <c r="AA3428" s="1"/>
  <c r="AB3428" s="1"/>
  <c r="F3136"/>
  <c r="D3136" s="1"/>
  <c r="F3135"/>
  <c r="D3135" s="1"/>
  <c r="F3134"/>
  <c r="D3134" s="1"/>
  <c r="I3133"/>
  <c r="I3136" s="1"/>
  <c r="F3133"/>
  <c r="D3133" s="1"/>
  <c r="I3132"/>
  <c r="I3135" s="1"/>
  <c r="F3132"/>
  <c r="D3132" s="1"/>
  <c r="I3131"/>
  <c r="I3134" s="1"/>
  <c r="H3131"/>
  <c r="H3134" s="1"/>
  <c r="F3131"/>
  <c r="D3131" s="1"/>
  <c r="H3130"/>
  <c r="I3130" s="1"/>
  <c r="J3130" s="1"/>
  <c r="G3130"/>
  <c r="D3129"/>
  <c r="D3128"/>
  <c r="D3127"/>
  <c r="T3126"/>
  <c r="U3126" s="1"/>
  <c r="U3125"/>
  <c r="T3125"/>
  <c r="T3124"/>
  <c r="U3124" s="1"/>
  <c r="V3124" s="1"/>
  <c r="W3124" s="1"/>
  <c r="X3124" s="1"/>
  <c r="Y3124" s="1"/>
  <c r="Z3124" s="1"/>
  <c r="AA3124" s="1"/>
  <c r="AB3124" s="1"/>
  <c r="AC3124" s="1"/>
  <c r="AD3124" s="1"/>
  <c r="AE3124" s="1"/>
  <c r="AF3124" s="1"/>
  <c r="AG3124" s="1"/>
  <c r="AH3124" s="1"/>
  <c r="AI3124" s="1"/>
  <c r="AJ3124" s="1"/>
  <c r="AK3124" s="1"/>
  <c r="AL3124" s="1"/>
  <c r="AM3124" s="1"/>
  <c r="AN3124" s="1"/>
  <c r="AO3124" s="1"/>
  <c r="AP3124" s="1"/>
  <c r="AQ3124" s="1"/>
  <c r="AR3124" s="1"/>
  <c r="AS3124" s="1"/>
  <c r="AT3124" s="1"/>
  <c r="AU3124" s="1"/>
  <c r="U3123"/>
  <c r="W3123" s="1"/>
  <c r="T3123"/>
  <c r="I3123"/>
  <c r="G3129" s="1"/>
  <c r="T3122"/>
  <c r="U3122" s="1"/>
  <c r="V3122" s="1"/>
  <c r="W3122" s="1"/>
  <c r="X3122" s="1"/>
  <c r="Y3122" s="1"/>
  <c r="Z3122" s="1"/>
  <c r="AA3122" s="1"/>
  <c r="AB3122" s="1"/>
  <c r="AC3122" s="1"/>
  <c r="AD3122" s="1"/>
  <c r="AE3122" s="1"/>
  <c r="AF3122" s="1"/>
  <c r="AG3122" s="1"/>
  <c r="AH3122" s="1"/>
  <c r="AI3122" s="1"/>
  <c r="AJ3122" s="1"/>
  <c r="AK3122" s="1"/>
  <c r="AL3122" s="1"/>
  <c r="AM3122" s="1"/>
  <c r="AN3122" s="1"/>
  <c r="AO3122" s="1"/>
  <c r="AP3122" s="1"/>
  <c r="AQ3122" s="1"/>
  <c r="AR3122" s="1"/>
  <c r="AS3122" s="1"/>
  <c r="AT3122" s="1"/>
  <c r="AU3122" s="1"/>
  <c r="U3121"/>
  <c r="V3121" s="1"/>
  <c r="T3121"/>
  <c r="I3121"/>
  <c r="G3128" s="1"/>
  <c r="T3120"/>
  <c r="U3120" s="1"/>
  <c r="V3120" s="1"/>
  <c r="W3120" s="1"/>
  <c r="X3120" s="1"/>
  <c r="Y3120" s="1"/>
  <c r="Z3120" s="1"/>
  <c r="AA3120" s="1"/>
  <c r="AB3120" s="1"/>
  <c r="AC3120" s="1"/>
  <c r="AD3120" s="1"/>
  <c r="AE3120" s="1"/>
  <c r="AF3120" s="1"/>
  <c r="AG3120" s="1"/>
  <c r="AH3120" s="1"/>
  <c r="AI3120" s="1"/>
  <c r="AJ3120" s="1"/>
  <c r="AK3120" s="1"/>
  <c r="AL3120" s="1"/>
  <c r="AM3120" s="1"/>
  <c r="AN3120" s="1"/>
  <c r="AO3120" s="1"/>
  <c r="AP3120" s="1"/>
  <c r="AQ3120" s="1"/>
  <c r="AR3120" s="1"/>
  <c r="AS3120" s="1"/>
  <c r="AT3120" s="1"/>
  <c r="AU3120" s="1"/>
  <c r="U3119"/>
  <c r="V3119" s="1"/>
  <c r="T3119"/>
  <c r="I3119"/>
  <c r="G3127" s="1"/>
  <c r="H3119"/>
  <c r="H3121" s="1"/>
  <c r="R3117"/>
  <c r="Q3117"/>
  <c r="R3116"/>
  <c r="Q3116"/>
  <c r="G3116"/>
  <c r="G3114"/>
  <c r="O3110"/>
  <c r="N3125" l="1"/>
  <c r="N3428"/>
  <c r="Y4084"/>
  <c r="Z4083"/>
  <c r="V3123"/>
  <c r="H3128"/>
  <c r="J3128" s="1"/>
  <c r="L3128" s="1"/>
  <c r="N3128" s="1"/>
  <c r="P3128" s="1"/>
  <c r="R3128" s="1"/>
  <c r="H3123"/>
  <c r="J3121"/>
  <c r="H3125"/>
  <c r="J3125" s="1"/>
  <c r="Q3127"/>
  <c r="I3127"/>
  <c r="K3127" s="1"/>
  <c r="M3127" s="1"/>
  <c r="O3127" s="1"/>
  <c r="Q3128"/>
  <c r="I3128"/>
  <c r="K3128" s="1"/>
  <c r="M3128" s="1"/>
  <c r="O3128" s="1"/>
  <c r="Q3129"/>
  <c r="I3129"/>
  <c r="K3129" s="1"/>
  <c r="M3129" s="1"/>
  <c r="O3129" s="1"/>
  <c r="X3123"/>
  <c r="Y3123"/>
  <c r="W3119"/>
  <c r="W3121"/>
  <c r="H3127"/>
  <c r="J3127" s="1"/>
  <c r="L3127" s="1"/>
  <c r="N3127" s="1"/>
  <c r="P3127" s="1"/>
  <c r="R3127" s="1"/>
  <c r="J3119"/>
  <c r="G3125"/>
  <c r="I3125" s="1"/>
  <c r="H3132"/>
  <c r="Z4084" l="1"/>
  <c r="AA4083"/>
  <c r="H3135"/>
  <c r="H3133"/>
  <c r="H3136" s="1"/>
  <c r="X3121"/>
  <c r="Y3121"/>
  <c r="Z3123"/>
  <c r="AA3123"/>
  <c r="X3119"/>
  <c r="Y3119"/>
  <c r="J3123"/>
  <c r="H3129"/>
  <c r="J3129" s="1"/>
  <c r="L3129" s="1"/>
  <c r="N3129" s="1"/>
  <c r="P3129" s="1"/>
  <c r="R3129" s="1"/>
  <c r="F3106"/>
  <c r="D3106" s="1"/>
  <c r="I3105"/>
  <c r="I3106" s="1"/>
  <c r="H3105"/>
  <c r="H3106" s="1"/>
  <c r="F3103"/>
  <c r="D3103" s="1"/>
  <c r="I3102"/>
  <c r="I3103" s="1"/>
  <c r="H3102"/>
  <c r="H3103" s="1"/>
  <c r="D3101"/>
  <c r="D3100"/>
  <c r="D3099"/>
  <c r="D3098"/>
  <c r="N3096"/>
  <c r="G3096"/>
  <c r="I3096" s="1"/>
  <c r="N3094"/>
  <c r="I3094"/>
  <c r="N3092"/>
  <c r="G3092"/>
  <c r="I3092" s="1"/>
  <c r="N3090"/>
  <c r="I3090"/>
  <c r="N3088"/>
  <c r="G3088"/>
  <c r="I3088" s="1"/>
  <c r="N3086"/>
  <c r="I3086"/>
  <c r="H3086"/>
  <c r="H3090" s="1"/>
  <c r="G3083"/>
  <c r="G3081"/>
  <c r="O3077"/>
  <c r="AA4084" l="1"/>
  <c r="AB4083"/>
  <c r="AB3123"/>
  <c r="AC3123"/>
  <c r="Z3121"/>
  <c r="AA3121"/>
  <c r="Z3119"/>
  <c r="AA3119"/>
  <c r="J3090"/>
  <c r="H3094"/>
  <c r="J3094" s="1"/>
  <c r="J3086"/>
  <c r="H3088"/>
  <c r="AB4084" l="1"/>
  <c r="AC4083"/>
  <c r="AB3119"/>
  <c r="AC3119"/>
  <c r="AD3123"/>
  <c r="AE3123"/>
  <c r="AB3121"/>
  <c r="AC3121"/>
  <c r="J3088"/>
  <c r="H3092"/>
  <c r="J3074"/>
  <c r="L3074" s="1"/>
  <c r="D3072"/>
  <c r="D3071"/>
  <c r="D3070"/>
  <c r="D3069"/>
  <c r="D3067"/>
  <c r="U3066"/>
  <c r="V3066" s="1"/>
  <c r="D3066"/>
  <c r="T3065"/>
  <c r="S3065" s="1"/>
  <c r="L3062"/>
  <c r="K3062"/>
  <c r="D3062"/>
  <c r="G3058"/>
  <c r="I3057"/>
  <c r="G3055"/>
  <c r="O3051"/>
  <c r="U3065" l="1"/>
  <c r="AC4084"/>
  <c r="AD4083"/>
  <c r="AF3123"/>
  <c r="AG3123"/>
  <c r="AD3121"/>
  <c r="AE3121"/>
  <c r="AD3119"/>
  <c r="AE3119"/>
  <c r="H3096"/>
  <c r="J3096" s="1"/>
  <c r="J3092"/>
  <c r="W3066"/>
  <c r="V3065"/>
  <c r="AD4084" l="1"/>
  <c r="AE4083"/>
  <c r="AF3119"/>
  <c r="AG3119"/>
  <c r="AF3121"/>
  <c r="AG3121"/>
  <c r="AH3123"/>
  <c r="AI3123"/>
  <c r="W3065"/>
  <c r="X3066"/>
  <c r="F3020"/>
  <c r="D3020" s="1"/>
  <c r="F3019"/>
  <c r="D3019" s="1"/>
  <c r="F3016"/>
  <c r="D3016" s="1"/>
  <c r="J3015"/>
  <c r="F3011"/>
  <c r="D3011" s="1"/>
  <c r="F3010"/>
  <c r="D3010" s="1"/>
  <c r="F3009"/>
  <c r="D3009" s="1"/>
  <c r="I3008"/>
  <c r="I3011" s="1"/>
  <c r="H3008"/>
  <c r="H3011" s="1"/>
  <c r="G3007"/>
  <c r="I3007" s="1"/>
  <c r="I3010" s="1"/>
  <c r="G3006"/>
  <c r="I3006" s="1"/>
  <c r="I3009" s="1"/>
  <c r="F3006"/>
  <c r="H3006" s="1"/>
  <c r="H3009" s="1"/>
  <c r="F3004"/>
  <c r="D3004" s="1"/>
  <c r="F3002"/>
  <c r="D3002" s="1"/>
  <c r="J3001"/>
  <c r="J3003" s="1"/>
  <c r="H3004" s="1"/>
  <c r="L3000"/>
  <c r="K3000"/>
  <c r="I3000"/>
  <c r="G3003" s="1"/>
  <c r="I3003" s="1"/>
  <c r="I3004" s="1"/>
  <c r="D3000"/>
  <c r="H2999"/>
  <c r="J2999" s="1"/>
  <c r="J2998"/>
  <c r="L2998" s="1"/>
  <c r="G2998"/>
  <c r="G2999" s="1"/>
  <c r="H2997"/>
  <c r="J2997" s="1"/>
  <c r="J2996"/>
  <c r="L2996" s="1"/>
  <c r="F2994"/>
  <c r="D2994" s="1"/>
  <c r="F2993"/>
  <c r="D2993" s="1"/>
  <c r="D2992"/>
  <c r="T2991"/>
  <c r="J2991"/>
  <c r="H2991" s="1"/>
  <c r="H2993" s="1"/>
  <c r="H3019" s="1"/>
  <c r="D2991"/>
  <c r="N2990"/>
  <c r="J2990"/>
  <c r="J2992" s="1"/>
  <c r="H2992" s="1"/>
  <c r="H2994" s="1"/>
  <c r="G2990"/>
  <c r="G2996" s="1"/>
  <c r="G2997" s="1"/>
  <c r="F2989"/>
  <c r="D2989" s="1"/>
  <c r="F2988"/>
  <c r="D2988" s="1"/>
  <c r="G2987"/>
  <c r="I2987" s="1"/>
  <c r="I2989" s="1"/>
  <c r="D2987"/>
  <c r="U2986"/>
  <c r="F3007" s="1"/>
  <c r="H3007" s="1"/>
  <c r="H3010" s="1"/>
  <c r="J2986"/>
  <c r="H2986" s="1"/>
  <c r="H2988" s="1"/>
  <c r="H3020" s="1"/>
  <c r="D2986"/>
  <c r="J2985"/>
  <c r="J2987" s="1"/>
  <c r="H2987" s="1"/>
  <c r="H2989" s="1"/>
  <c r="I2985"/>
  <c r="I2986" s="1"/>
  <c r="G2981"/>
  <c r="O2977"/>
  <c r="AE4084" l="1"/>
  <c r="AF4083"/>
  <c r="I2990"/>
  <c r="I2996" s="1"/>
  <c r="I2997" s="1"/>
  <c r="AJ3123"/>
  <c r="AK3123"/>
  <c r="AH3121"/>
  <c r="AI3121"/>
  <c r="AH3119"/>
  <c r="AI3119"/>
  <c r="Y3066"/>
  <c r="X3065"/>
  <c r="K2998"/>
  <c r="G2992"/>
  <c r="I2992" s="1"/>
  <c r="I2994" s="1"/>
  <c r="G3001"/>
  <c r="I3001" s="1"/>
  <c r="I3002" s="1"/>
  <c r="G2986"/>
  <c r="I2988"/>
  <c r="I3020" s="1"/>
  <c r="I2991"/>
  <c r="I2998"/>
  <c r="I2999" s="1"/>
  <c r="K2996"/>
  <c r="H3002"/>
  <c r="AF4084" l="1"/>
  <c r="AG4083"/>
  <c r="AJ3119"/>
  <c r="AK3119"/>
  <c r="AJ3121"/>
  <c r="AK3121"/>
  <c r="AL3123"/>
  <c r="AM3123"/>
  <c r="Y3065"/>
  <c r="Z3066"/>
  <c r="I2993"/>
  <c r="I3019" s="1"/>
  <c r="G2991"/>
  <c r="F2974"/>
  <c r="D2974" s="1"/>
  <c r="F2973"/>
  <c r="D2973" s="1"/>
  <c r="F2972"/>
  <c r="D2972" s="1"/>
  <c r="F2971"/>
  <c r="D2971" s="1"/>
  <c r="F2970"/>
  <c r="D2970" s="1"/>
  <c r="F2969"/>
  <c r="D2969" s="1"/>
  <c r="F2967"/>
  <c r="D2967" s="1"/>
  <c r="F2966"/>
  <c r="D2966" s="1"/>
  <c r="H2963"/>
  <c r="G2963"/>
  <c r="I2963" s="1"/>
  <c r="H2962"/>
  <c r="G2962"/>
  <c r="I2962" s="1"/>
  <c r="F2960"/>
  <c r="D2960" s="1"/>
  <c r="I2959"/>
  <c r="H2959"/>
  <c r="J2959" s="1"/>
  <c r="I2957"/>
  <c r="H2957"/>
  <c r="J2957" s="1"/>
  <c r="H2952"/>
  <c r="J2952" s="1"/>
  <c r="D2952"/>
  <c r="G2951"/>
  <c r="G2959" s="1"/>
  <c r="F2951"/>
  <c r="J2963" s="1"/>
  <c r="D2950"/>
  <c r="D2949"/>
  <c r="H2948"/>
  <c r="H2950" s="1"/>
  <c r="J2950" s="1"/>
  <c r="D2948"/>
  <c r="G2947"/>
  <c r="G2957" s="1"/>
  <c r="F2947"/>
  <c r="J2962" s="1"/>
  <c r="G2942"/>
  <c r="O2936"/>
  <c r="AG4084" l="1"/>
  <c r="AH4083"/>
  <c r="AN3123"/>
  <c r="AO3123"/>
  <c r="AL3121"/>
  <c r="AM3121"/>
  <c r="AL3119"/>
  <c r="AM3119"/>
  <c r="AA3066"/>
  <c r="Z3065"/>
  <c r="H2949"/>
  <c r="J2949" s="1"/>
  <c r="N2949" s="1"/>
  <c r="L2950"/>
  <c r="H2956"/>
  <c r="J2956" s="1"/>
  <c r="H2958"/>
  <c r="J2958" s="1"/>
  <c r="L2952"/>
  <c r="G2948"/>
  <c r="H2964"/>
  <c r="H2965"/>
  <c r="J2948"/>
  <c r="G2952"/>
  <c r="AH4084" l="1"/>
  <c r="AI4083"/>
  <c r="H2955"/>
  <c r="J2955" s="1"/>
  <c r="AN3119"/>
  <c r="AO3119"/>
  <c r="AN3121"/>
  <c r="AO3121"/>
  <c r="AP3123"/>
  <c r="AQ3123"/>
  <c r="AA3065"/>
  <c r="AB3066"/>
  <c r="L2949"/>
  <c r="J2965" s="1"/>
  <c r="H2967" s="1"/>
  <c r="N2948"/>
  <c r="L2948"/>
  <c r="J2964" s="1"/>
  <c r="H2966" s="1"/>
  <c r="H2954"/>
  <c r="J2954" s="1"/>
  <c r="K2952"/>
  <c r="I2958" s="1"/>
  <c r="I2952"/>
  <c r="G2958" s="1"/>
  <c r="M2948"/>
  <c r="I2954" s="1"/>
  <c r="I2948"/>
  <c r="F2933"/>
  <c r="D2933" s="1"/>
  <c r="F2932"/>
  <c r="D2932" s="1"/>
  <c r="F2931"/>
  <c r="D2931" s="1"/>
  <c r="F2930"/>
  <c r="D2930" s="1"/>
  <c r="F2929"/>
  <c r="D2929" s="1"/>
  <c r="F2927"/>
  <c r="D2927" s="1"/>
  <c r="H2925"/>
  <c r="G2925"/>
  <c r="I2925" s="1"/>
  <c r="H2924"/>
  <c r="G2924"/>
  <c r="I2924" s="1"/>
  <c r="F2922"/>
  <c r="D2922" s="1"/>
  <c r="I2921"/>
  <c r="H2921"/>
  <c r="J2921" s="1"/>
  <c r="I2919"/>
  <c r="H2919"/>
  <c r="J2919" s="1"/>
  <c r="H2915"/>
  <c r="J2915" s="1"/>
  <c r="D2915"/>
  <c r="G2914"/>
  <c r="G2921" s="1"/>
  <c r="F2914"/>
  <c r="J2925" s="1"/>
  <c r="D2913"/>
  <c r="H2912"/>
  <c r="H2926" s="1"/>
  <c r="D2912"/>
  <c r="G2911"/>
  <c r="G2919" s="1"/>
  <c r="F2911"/>
  <c r="J2924" s="1"/>
  <c r="G2906"/>
  <c r="O2900"/>
  <c r="AI4084" l="1"/>
  <c r="AJ4083"/>
  <c r="AR3123"/>
  <c r="AS3123"/>
  <c r="AP3121"/>
  <c r="AQ3121"/>
  <c r="AP3119"/>
  <c r="AQ3119"/>
  <c r="AC3066"/>
  <c r="AB3065"/>
  <c r="G2954"/>
  <c r="G2949"/>
  <c r="K2948"/>
  <c r="G2964" s="1"/>
  <c r="I2964" s="1"/>
  <c r="I2966" s="1"/>
  <c r="H2913"/>
  <c r="J2913" s="1"/>
  <c r="H2918" s="1"/>
  <c r="J2918" s="1"/>
  <c r="H2920"/>
  <c r="J2920" s="1"/>
  <c r="L2915"/>
  <c r="G2912"/>
  <c r="G2915"/>
  <c r="J2912"/>
  <c r="AJ4084" l="1"/>
  <c r="AK4083"/>
  <c r="AR3119"/>
  <c r="AS3119"/>
  <c r="AR3121"/>
  <c r="AS3121"/>
  <c r="AT3123"/>
  <c r="AU3123"/>
  <c r="N3123" s="1"/>
  <c r="AC3065"/>
  <c r="AD3066"/>
  <c r="L2913"/>
  <c r="M2949"/>
  <c r="I2955" s="1"/>
  <c r="I2949"/>
  <c r="K2915"/>
  <c r="I2920" s="1"/>
  <c r="I2915"/>
  <c r="G2920" s="1"/>
  <c r="H2917"/>
  <c r="J2917" s="1"/>
  <c r="N2912"/>
  <c r="L2912"/>
  <c r="J2926" s="1"/>
  <c r="H2927" s="1"/>
  <c r="M2912"/>
  <c r="I2917" s="1"/>
  <c r="I2912"/>
  <c r="F2896"/>
  <c r="D2896" s="1"/>
  <c r="F2895"/>
  <c r="D2895" s="1"/>
  <c r="F2892"/>
  <c r="D2892" s="1"/>
  <c r="F2891"/>
  <c r="D2891" s="1"/>
  <c r="F2890"/>
  <c r="D2890" s="1"/>
  <c r="I2889"/>
  <c r="I2892" s="1"/>
  <c r="H2889"/>
  <c r="H2892" s="1"/>
  <c r="G2888"/>
  <c r="I2888" s="1"/>
  <c r="I2891" s="1"/>
  <c r="G2887"/>
  <c r="I2887" s="1"/>
  <c r="I2890" s="1"/>
  <c r="F2887"/>
  <c r="H2887" s="1"/>
  <c r="H2890" s="1"/>
  <c r="F2885"/>
  <c r="D2885" s="1"/>
  <c r="F2883"/>
  <c r="D2883" s="1"/>
  <c r="J2882"/>
  <c r="J2884" s="1"/>
  <c r="H2885" s="1"/>
  <c r="L2881"/>
  <c r="K2881"/>
  <c r="I2881"/>
  <c r="G2884" s="1"/>
  <c r="I2884" s="1"/>
  <c r="I2885" s="1"/>
  <c r="D2881"/>
  <c r="H2880"/>
  <c r="J2880" s="1"/>
  <c r="J2879"/>
  <c r="L2879" s="1"/>
  <c r="G2879"/>
  <c r="G2880" s="1"/>
  <c r="H2878"/>
  <c r="J2878" s="1"/>
  <c r="J2877"/>
  <c r="L2877" s="1"/>
  <c r="F2875"/>
  <c r="D2875" s="1"/>
  <c r="F2874"/>
  <c r="D2874" s="1"/>
  <c r="D2873"/>
  <c r="T2872"/>
  <c r="J2872"/>
  <c r="H2872" s="1"/>
  <c r="H2874" s="1"/>
  <c r="H2895" s="1"/>
  <c r="D2872"/>
  <c r="N2871"/>
  <c r="J2871"/>
  <c r="J2873" s="1"/>
  <c r="H2873" s="1"/>
  <c r="H2875" s="1"/>
  <c r="G2871"/>
  <c r="G2877" s="1"/>
  <c r="F2870"/>
  <c r="D2870" s="1"/>
  <c r="F2869"/>
  <c r="D2869" s="1"/>
  <c r="G2868"/>
  <c r="I2868" s="1"/>
  <c r="I2870" s="1"/>
  <c r="D2868"/>
  <c r="U2867"/>
  <c r="F2888" s="1"/>
  <c r="H2888" s="1"/>
  <c r="H2891" s="1"/>
  <c r="J2867"/>
  <c r="H2867" s="1"/>
  <c r="H2869" s="1"/>
  <c r="H2896" s="1"/>
  <c r="D2867"/>
  <c r="J2866"/>
  <c r="J2868" s="1"/>
  <c r="H2868" s="1"/>
  <c r="H2870" s="1"/>
  <c r="I2866"/>
  <c r="I2879" s="1"/>
  <c r="I2880" s="1"/>
  <c r="G2862"/>
  <c r="O2858"/>
  <c r="AK4084" l="1"/>
  <c r="AL4083"/>
  <c r="AT3119"/>
  <c r="AU3119"/>
  <c r="AT3121"/>
  <c r="AU3121"/>
  <c r="AE3066"/>
  <c r="AD3065"/>
  <c r="G2955"/>
  <c r="K2949"/>
  <c r="G2965" s="1"/>
  <c r="I2965" s="1"/>
  <c r="I2967" s="1"/>
  <c r="G2950"/>
  <c r="I2871"/>
  <c r="I2872" s="1"/>
  <c r="I2874" s="1"/>
  <c r="I2895" s="1"/>
  <c r="G2913"/>
  <c r="G2917"/>
  <c r="K2912"/>
  <c r="G2926" s="1"/>
  <c r="I2926" s="1"/>
  <c r="I2927" s="1"/>
  <c r="G2873"/>
  <c r="I2873" s="1"/>
  <c r="I2875" s="1"/>
  <c r="K2879"/>
  <c r="G2882"/>
  <c r="I2882" s="1"/>
  <c r="I2883" s="1"/>
  <c r="G2878"/>
  <c r="K2877"/>
  <c r="I2867"/>
  <c r="H2883"/>
  <c r="N3121" l="1"/>
  <c r="N3119"/>
  <c r="AL4084"/>
  <c r="AM4083"/>
  <c r="AM4084" s="1"/>
  <c r="AE3065"/>
  <c r="AF3066"/>
  <c r="I2877"/>
  <c r="I2878" s="1"/>
  <c r="G2872"/>
  <c r="K2950"/>
  <c r="I2956" s="1"/>
  <c r="I2950"/>
  <c r="G2956" s="1"/>
  <c r="K2913"/>
  <c r="I2918" s="1"/>
  <c r="I2913"/>
  <c r="G2918" s="1"/>
  <c r="I2869"/>
  <c r="I2896" s="1"/>
  <c r="G2867"/>
  <c r="F2855"/>
  <c r="D2855" s="1"/>
  <c r="F2854"/>
  <c r="D2854" s="1"/>
  <c r="F2851"/>
  <c r="D2851" s="1"/>
  <c r="J2850"/>
  <c r="K2849"/>
  <c r="G2850" s="1"/>
  <c r="J2849"/>
  <c r="L2849" s="1"/>
  <c r="I2849"/>
  <c r="G2849"/>
  <c r="H2848"/>
  <c r="J2848" s="1"/>
  <c r="J2847"/>
  <c r="L2847" s="1"/>
  <c r="G2847"/>
  <c r="G2848" s="1"/>
  <c r="H2846"/>
  <c r="J2846" s="1"/>
  <c r="J2845"/>
  <c r="L2845" s="1"/>
  <c r="F2843"/>
  <c r="D2843" s="1"/>
  <c r="F2842"/>
  <c r="D2842" s="1"/>
  <c r="D2841"/>
  <c r="T2840"/>
  <c r="J2840"/>
  <c r="H2840" s="1"/>
  <c r="H2842" s="1"/>
  <c r="H2854" s="1"/>
  <c r="D2840"/>
  <c r="J2839"/>
  <c r="J2841" s="1"/>
  <c r="H2841" s="1"/>
  <c r="H2843" s="1"/>
  <c r="G2839"/>
  <c r="G2845" s="1"/>
  <c r="F2838"/>
  <c r="D2838" s="1"/>
  <c r="F2837"/>
  <c r="D2837" s="1"/>
  <c r="G2836"/>
  <c r="I2836" s="1"/>
  <c r="I2838" s="1"/>
  <c r="D2836"/>
  <c r="U2835"/>
  <c r="J2835"/>
  <c r="H2835" s="1"/>
  <c r="H2837" s="1"/>
  <c r="H2855" s="1"/>
  <c r="D2835"/>
  <c r="J2834"/>
  <c r="J2836" s="1"/>
  <c r="H2836" s="1"/>
  <c r="H2838" s="1"/>
  <c r="I2834"/>
  <c r="I2847" s="1"/>
  <c r="I2848" s="1"/>
  <c r="G2830"/>
  <c r="O2826"/>
  <c r="AG3066" l="1"/>
  <c r="AF3065"/>
  <c r="I2839"/>
  <c r="I2845" s="1"/>
  <c r="I2846" s="1"/>
  <c r="G2846"/>
  <c r="K2845"/>
  <c r="I2850"/>
  <c r="I2851" s="1"/>
  <c r="H2850"/>
  <c r="H2851" s="1"/>
  <c r="I2835"/>
  <c r="I2840"/>
  <c r="G2841"/>
  <c r="I2841" s="1"/>
  <c r="I2843" s="1"/>
  <c r="K2847"/>
  <c r="AG3065" l="1"/>
  <c r="AH3066"/>
  <c r="I2837"/>
  <c r="I2855" s="1"/>
  <c r="G2835"/>
  <c r="I2842"/>
  <c r="I2854" s="1"/>
  <c r="G2840"/>
  <c r="F2823"/>
  <c r="D2823" s="1"/>
  <c r="F2822"/>
  <c r="D2822" s="1"/>
  <c r="F2821"/>
  <c r="D2821" s="1"/>
  <c r="F2820"/>
  <c r="D2820" s="1"/>
  <c r="J2818"/>
  <c r="J2817"/>
  <c r="F2815"/>
  <c r="D2815" s="1"/>
  <c r="G2814"/>
  <c r="G2812"/>
  <c r="G2809"/>
  <c r="K2809" s="1"/>
  <c r="I2813" s="1"/>
  <c r="D2809"/>
  <c r="I2808"/>
  <c r="G2818" s="1"/>
  <c r="I2818" s="1"/>
  <c r="H2808"/>
  <c r="H2818" s="1"/>
  <c r="G2807"/>
  <c r="K2807" s="1"/>
  <c r="I2811" s="1"/>
  <c r="D2807"/>
  <c r="I2806"/>
  <c r="G2817" s="1"/>
  <c r="I2817" s="1"/>
  <c r="H2806"/>
  <c r="H2807" s="1"/>
  <c r="J2807" s="1"/>
  <c r="G2801"/>
  <c r="O2795"/>
  <c r="AI3066" l="1"/>
  <c r="AH3065"/>
  <c r="L2807"/>
  <c r="H2811"/>
  <c r="J2811" s="1"/>
  <c r="I2807"/>
  <c r="G2811" s="1"/>
  <c r="H2809"/>
  <c r="J2809" s="1"/>
  <c r="H2812"/>
  <c r="J2812" s="1"/>
  <c r="H2814"/>
  <c r="J2814" s="1"/>
  <c r="H2817"/>
  <c r="I2809"/>
  <c r="G2813" s="1"/>
  <c r="I2812"/>
  <c r="I2814"/>
  <c r="AI3065" l="1"/>
  <c r="AJ3066"/>
  <c r="H2813"/>
  <c r="J2813" s="1"/>
  <c r="L2809"/>
  <c r="F2792"/>
  <c r="D2792" s="1"/>
  <c r="F2791"/>
  <c r="D2791" s="1"/>
  <c r="F2788"/>
  <c r="D2788" s="1"/>
  <c r="J2787"/>
  <c r="H2784"/>
  <c r="J2784" s="1"/>
  <c r="J2783"/>
  <c r="L2783" s="1"/>
  <c r="G2783"/>
  <c r="G2784" s="1"/>
  <c r="H2782"/>
  <c r="J2782" s="1"/>
  <c r="J2781"/>
  <c r="L2781" s="1"/>
  <c r="F2779"/>
  <c r="D2779" s="1"/>
  <c r="F2778"/>
  <c r="D2778" s="1"/>
  <c r="D2777"/>
  <c r="T2776"/>
  <c r="J2776"/>
  <c r="H2776" s="1"/>
  <c r="H2778" s="1"/>
  <c r="H2791" s="1"/>
  <c r="D2776"/>
  <c r="T2775"/>
  <c r="N2775" s="1"/>
  <c r="J2775"/>
  <c r="J2777" s="1"/>
  <c r="H2777" s="1"/>
  <c r="H2779" s="1"/>
  <c r="G2775"/>
  <c r="G2781" s="1"/>
  <c r="F2774"/>
  <c r="D2774" s="1"/>
  <c r="F2773"/>
  <c r="D2773" s="1"/>
  <c r="G2772"/>
  <c r="I2772" s="1"/>
  <c r="I2774" s="1"/>
  <c r="D2772"/>
  <c r="T2771"/>
  <c r="J2771"/>
  <c r="H2771" s="1"/>
  <c r="H2773" s="1"/>
  <c r="H2792" s="1"/>
  <c r="D2771"/>
  <c r="N2770"/>
  <c r="J2770"/>
  <c r="J2772" s="1"/>
  <c r="H2772" s="1"/>
  <c r="H2774" s="1"/>
  <c r="I2770"/>
  <c r="I2783" s="1"/>
  <c r="I2784" s="1"/>
  <c r="G2766"/>
  <c r="O2762"/>
  <c r="AK3066" l="1"/>
  <c r="AJ3065"/>
  <c r="I2775"/>
  <c r="I2781" s="1"/>
  <c r="I2782" s="1"/>
  <c r="G2782"/>
  <c r="K2781"/>
  <c r="I2771"/>
  <c r="G2777"/>
  <c r="I2777" s="1"/>
  <c r="I2779" s="1"/>
  <c r="K2783"/>
  <c r="AK3065" l="1"/>
  <c r="AL3066"/>
  <c r="I2776"/>
  <c r="I2778" s="1"/>
  <c r="I2791" s="1"/>
  <c r="G2776"/>
  <c r="I2773"/>
  <c r="I2792" s="1"/>
  <c r="G2771"/>
  <c r="F2669"/>
  <c r="D2669" s="1"/>
  <c r="F2668"/>
  <c r="D2668" s="1"/>
  <c r="F2667"/>
  <c r="D2667" s="1"/>
  <c r="D2660"/>
  <c r="N2657"/>
  <c r="F2655"/>
  <c r="D2655" s="1"/>
  <c r="F2654"/>
  <c r="D2654"/>
  <c r="F2653"/>
  <c r="D2653" s="1"/>
  <c r="D2646"/>
  <c r="N2643"/>
  <c r="H2643"/>
  <c r="H2657" s="1"/>
  <c r="G2643"/>
  <c r="G2657" s="1"/>
  <c r="F2641"/>
  <c r="D2641"/>
  <c r="F2640"/>
  <c r="D2640" s="1"/>
  <c r="F2639"/>
  <c r="D2639"/>
  <c r="H2633"/>
  <c r="P2633" s="1"/>
  <c r="F2638" s="1"/>
  <c r="H2638" s="1"/>
  <c r="G2633"/>
  <c r="O2633" s="1"/>
  <c r="G2638" s="1"/>
  <c r="I2638" s="1"/>
  <c r="D2633"/>
  <c r="W2632"/>
  <c r="V2632"/>
  <c r="U2632"/>
  <c r="T2632"/>
  <c r="S2632"/>
  <c r="N2630"/>
  <c r="J2630"/>
  <c r="I2630"/>
  <c r="G2625"/>
  <c r="O2621"/>
  <c r="AM3066" l="1"/>
  <c r="AL3065"/>
  <c r="G2660"/>
  <c r="I2657"/>
  <c r="H2660"/>
  <c r="J2657"/>
  <c r="M2633"/>
  <c r="G2637" s="1"/>
  <c r="I2637" s="1"/>
  <c r="I2641" s="1"/>
  <c r="J2633"/>
  <c r="F2635" s="1"/>
  <c r="H2635" s="1"/>
  <c r="H2639" s="1"/>
  <c r="L2633"/>
  <c r="F2636" s="1"/>
  <c r="H2636" s="1"/>
  <c r="H2640" s="1"/>
  <c r="N2633"/>
  <c r="F2637" s="1"/>
  <c r="H2637" s="1"/>
  <c r="H2641" s="1"/>
  <c r="J2643"/>
  <c r="H2646"/>
  <c r="I2633"/>
  <c r="G2635" s="1"/>
  <c r="I2635" s="1"/>
  <c r="I2639" s="1"/>
  <c r="K2633"/>
  <c r="G2636" s="1"/>
  <c r="I2636" s="1"/>
  <c r="I2640" s="1"/>
  <c r="I2643"/>
  <c r="G2646"/>
  <c r="AM3065" l="1"/>
  <c r="AN3066"/>
  <c r="O2646"/>
  <c r="G2652" s="1"/>
  <c r="I2652" s="1"/>
  <c r="M2646"/>
  <c r="G2651" s="1"/>
  <c r="I2651" s="1"/>
  <c r="I2655" s="1"/>
  <c r="K2646"/>
  <c r="G2650" s="1"/>
  <c r="I2650" s="1"/>
  <c r="I2654" s="1"/>
  <c r="I2646"/>
  <c r="G2649" s="1"/>
  <c r="I2649" s="1"/>
  <c r="I2653" s="1"/>
  <c r="P2660"/>
  <c r="F2666" s="1"/>
  <c r="H2666" s="1"/>
  <c r="N2660"/>
  <c r="F2665" s="1"/>
  <c r="H2665" s="1"/>
  <c r="H2669" s="1"/>
  <c r="L2660"/>
  <c r="F2664" s="1"/>
  <c r="H2664" s="1"/>
  <c r="H2668" s="1"/>
  <c r="J2660"/>
  <c r="F2663" s="1"/>
  <c r="H2663" s="1"/>
  <c r="H2667" s="1"/>
  <c r="O2660"/>
  <c r="G2666" s="1"/>
  <c r="I2666" s="1"/>
  <c r="M2660"/>
  <c r="G2665" s="1"/>
  <c r="I2665" s="1"/>
  <c r="I2669" s="1"/>
  <c r="K2660"/>
  <c r="G2664" s="1"/>
  <c r="I2664" s="1"/>
  <c r="I2668" s="1"/>
  <c r="I2660"/>
  <c r="G2663" s="1"/>
  <c r="I2663" s="1"/>
  <c r="I2667" s="1"/>
  <c r="P2646"/>
  <c r="F2652" s="1"/>
  <c r="H2652" s="1"/>
  <c r="N2646"/>
  <c r="F2651" s="1"/>
  <c r="H2651" s="1"/>
  <c r="H2655" s="1"/>
  <c r="L2646"/>
  <c r="F2650" s="1"/>
  <c r="H2650" s="1"/>
  <c r="H2654" s="1"/>
  <c r="J2646"/>
  <c r="F2649" s="1"/>
  <c r="H2649" s="1"/>
  <c r="H2653" s="1"/>
  <c r="F2612"/>
  <c r="D2612" s="1"/>
  <c r="F2610"/>
  <c r="D2610" s="1"/>
  <c r="D2605"/>
  <c r="F2602"/>
  <c r="D2602" s="1"/>
  <c r="F2600"/>
  <c r="D2600" s="1"/>
  <c r="D2595"/>
  <c r="F2592"/>
  <c r="D2592" s="1"/>
  <c r="F2590"/>
  <c r="D2590" s="1"/>
  <c r="M2585"/>
  <c r="I2589" s="1"/>
  <c r="D2585"/>
  <c r="F2582"/>
  <c r="D2582" s="1"/>
  <c r="F2580"/>
  <c r="D2580" s="1"/>
  <c r="D2575"/>
  <c r="F2572"/>
  <c r="D2572" s="1"/>
  <c r="F2570"/>
  <c r="D2570" s="1"/>
  <c r="N2565"/>
  <c r="N2575" s="1"/>
  <c r="M2565"/>
  <c r="I2569" s="1"/>
  <c r="L2565"/>
  <c r="H2567" s="1"/>
  <c r="D2565"/>
  <c r="F2562"/>
  <c r="D2562" s="1"/>
  <c r="I2560"/>
  <c r="H2560"/>
  <c r="F2560"/>
  <c r="D2560" s="1"/>
  <c r="I2559"/>
  <c r="J2558"/>
  <c r="I2558"/>
  <c r="J2557"/>
  <c r="I2557"/>
  <c r="L2555"/>
  <c r="F2613" s="1"/>
  <c r="K2555"/>
  <c r="G2557" s="1"/>
  <c r="I2562" s="1"/>
  <c r="J2555"/>
  <c r="L2559" s="1"/>
  <c r="J2559" s="1"/>
  <c r="H2559" s="1"/>
  <c r="H2555"/>
  <c r="H2558" s="1"/>
  <c r="G2555"/>
  <c r="G2558" s="1"/>
  <c r="D2555"/>
  <c r="G2552"/>
  <c r="G2550"/>
  <c r="I2549"/>
  <c r="I2552" s="1"/>
  <c r="H2546"/>
  <c r="H2547" s="1"/>
  <c r="H2548" s="1"/>
  <c r="F2542"/>
  <c r="I2541"/>
  <c r="G2537"/>
  <c r="O2533"/>
  <c r="H2565" l="1"/>
  <c r="H2568" s="1"/>
  <c r="J2565"/>
  <c r="L2569" s="1"/>
  <c r="J2569" s="1"/>
  <c r="H2569" s="1"/>
  <c r="G2585"/>
  <c r="G2589" s="1"/>
  <c r="G2546" s="1"/>
  <c r="G2613" s="1"/>
  <c r="I2613" s="1"/>
  <c r="AO3066"/>
  <c r="AN3065"/>
  <c r="K2565"/>
  <c r="G2567" s="1"/>
  <c r="I2572" s="1"/>
  <c r="K2585"/>
  <c r="G2587" s="1"/>
  <c r="I2592" s="1"/>
  <c r="M2575"/>
  <c r="I2577" s="1"/>
  <c r="I2590"/>
  <c r="J2549"/>
  <c r="J2550" s="1"/>
  <c r="I2550"/>
  <c r="G2565"/>
  <c r="G2569" s="1"/>
  <c r="I2570"/>
  <c r="M2595"/>
  <c r="I2598" s="1"/>
  <c r="F2618"/>
  <c r="H2618" s="1"/>
  <c r="F2617"/>
  <c r="H2617" s="1"/>
  <c r="F2615"/>
  <c r="H2615" s="1"/>
  <c r="F2614"/>
  <c r="H2613"/>
  <c r="J2578"/>
  <c r="J2577"/>
  <c r="L2575"/>
  <c r="H2575"/>
  <c r="H2578" s="1"/>
  <c r="N2585"/>
  <c r="H2580"/>
  <c r="G2559"/>
  <c r="J2567"/>
  <c r="H2572" s="1"/>
  <c r="J2568"/>
  <c r="I2555"/>
  <c r="K2559" s="1"/>
  <c r="H2557"/>
  <c r="H2562" s="1"/>
  <c r="I2567"/>
  <c r="I2568"/>
  <c r="H2570"/>
  <c r="I2585"/>
  <c r="K2589" s="1"/>
  <c r="I2546" s="1"/>
  <c r="G2614" s="1"/>
  <c r="I2614" s="1"/>
  <c r="I2587"/>
  <c r="G2588"/>
  <c r="I2588"/>
  <c r="AO3065" l="1"/>
  <c r="AP3066"/>
  <c r="G2568"/>
  <c r="I2565"/>
  <c r="K2569" s="1"/>
  <c r="I2597"/>
  <c r="I2599"/>
  <c r="I2578"/>
  <c r="I2600"/>
  <c r="J2552"/>
  <c r="I2579"/>
  <c r="M2605"/>
  <c r="G2595"/>
  <c r="K2595"/>
  <c r="G2597" s="1"/>
  <c r="I2602" s="1"/>
  <c r="I2580"/>
  <c r="K2575"/>
  <c r="G2577" s="1"/>
  <c r="I2582" s="1"/>
  <c r="G2575"/>
  <c r="N2595"/>
  <c r="H2590"/>
  <c r="J2588"/>
  <c r="J2587"/>
  <c r="L2585"/>
  <c r="H2585"/>
  <c r="H2588" s="1"/>
  <c r="H2577"/>
  <c r="H2582" s="1"/>
  <c r="J2575"/>
  <c r="L2579" s="1"/>
  <c r="J2579" s="1"/>
  <c r="H2579" s="1"/>
  <c r="F2616"/>
  <c r="H2616" s="1"/>
  <c r="H2614"/>
  <c r="F2530"/>
  <c r="D2530" s="1"/>
  <c r="F2529"/>
  <c r="D2529" s="1"/>
  <c r="F2528"/>
  <c r="D2528" s="1"/>
  <c r="H2522"/>
  <c r="G2522"/>
  <c r="D2522"/>
  <c r="Y2519"/>
  <c r="X2519" s="1"/>
  <c r="W2519"/>
  <c r="F2527" s="1"/>
  <c r="H2527" s="1"/>
  <c r="T2519"/>
  <c r="U2519" s="1"/>
  <c r="F2525" s="1"/>
  <c r="H2525" s="1"/>
  <c r="H2529" s="1"/>
  <c r="Y2518"/>
  <c r="X2518"/>
  <c r="W2518"/>
  <c r="V2518" s="1"/>
  <c r="U2518"/>
  <c r="T2518"/>
  <c r="G2513"/>
  <c r="O2509"/>
  <c r="AQ3066" l="1"/>
  <c r="AP3065"/>
  <c r="I2518"/>
  <c r="J2518"/>
  <c r="V2519"/>
  <c r="F2526" s="1"/>
  <c r="H2526" s="1"/>
  <c r="H2530" s="1"/>
  <c r="N2518"/>
  <c r="I2608"/>
  <c r="K2605"/>
  <c r="G2607" s="1"/>
  <c r="I2612" s="1"/>
  <c r="I2610"/>
  <c r="I2609"/>
  <c r="I2607"/>
  <c r="G2605"/>
  <c r="G2579"/>
  <c r="I2575"/>
  <c r="K2579" s="1"/>
  <c r="G2578"/>
  <c r="G2599"/>
  <c r="G2547" s="1"/>
  <c r="G2615" s="1"/>
  <c r="I2615" s="1"/>
  <c r="I2595"/>
  <c r="K2599" s="1"/>
  <c r="I2547" s="1"/>
  <c r="G2616" s="1"/>
  <c r="I2616" s="1"/>
  <c r="G2598"/>
  <c r="H2587"/>
  <c r="H2592" s="1"/>
  <c r="J2585"/>
  <c r="L2589" s="1"/>
  <c r="J2589" s="1"/>
  <c r="H2589" s="1"/>
  <c r="F2546" s="1"/>
  <c r="J2598"/>
  <c r="J2597"/>
  <c r="L2595"/>
  <c r="H2595"/>
  <c r="H2598" s="1"/>
  <c r="N2605"/>
  <c r="H2600"/>
  <c r="F2524"/>
  <c r="H2524" s="1"/>
  <c r="H2528" s="1"/>
  <c r="AQ3065" l="1"/>
  <c r="AR3066"/>
  <c r="G2608"/>
  <c r="G2609"/>
  <c r="G2548" s="1"/>
  <c r="G2617" s="1"/>
  <c r="I2617" s="1"/>
  <c r="I2605"/>
  <c r="K2609" s="1"/>
  <c r="I2548" s="1"/>
  <c r="G2618" s="1"/>
  <c r="I2618" s="1"/>
  <c r="H2610"/>
  <c r="J2608"/>
  <c r="J2607"/>
  <c r="L2605"/>
  <c r="H2605"/>
  <c r="H2608" s="1"/>
  <c r="H2597"/>
  <c r="H2602" s="1"/>
  <c r="J2595"/>
  <c r="L2599" s="1"/>
  <c r="J2599" s="1"/>
  <c r="H2599" s="1"/>
  <c r="F2547" s="1"/>
  <c r="H2503"/>
  <c r="H2507" s="1"/>
  <c r="F2501"/>
  <c r="D2501" s="1"/>
  <c r="F2500"/>
  <c r="D2500" s="1"/>
  <c r="F2499"/>
  <c r="D2499" s="1"/>
  <c r="H2493"/>
  <c r="G2493"/>
  <c r="D2493"/>
  <c r="W2490"/>
  <c r="V2490" s="1"/>
  <c r="U2490"/>
  <c r="W2489"/>
  <c r="I2489" s="1"/>
  <c r="V2489"/>
  <c r="U2489"/>
  <c r="T2489"/>
  <c r="T2490" s="1"/>
  <c r="J2489"/>
  <c r="G2484"/>
  <c r="O2480"/>
  <c r="AS3066" l="1"/>
  <c r="AR3065"/>
  <c r="N2489"/>
  <c r="P2493"/>
  <c r="F2498" s="1"/>
  <c r="H2498" s="1"/>
  <c r="H2607"/>
  <c r="H2612" s="1"/>
  <c r="J2605"/>
  <c r="L2609" s="1"/>
  <c r="J2609" s="1"/>
  <c r="H2609" s="1"/>
  <c r="F2548" s="1"/>
  <c r="I2493"/>
  <c r="G2507" s="1"/>
  <c r="K2493"/>
  <c r="M2493"/>
  <c r="O2493"/>
  <c r="G2503"/>
  <c r="H2506"/>
  <c r="J2493"/>
  <c r="F2495" s="1"/>
  <c r="H2495" s="1"/>
  <c r="H2499" s="1"/>
  <c r="L2493"/>
  <c r="F2496" s="1"/>
  <c r="H2496" s="1"/>
  <c r="H2500" s="1"/>
  <c r="N2493"/>
  <c r="F2497" s="1"/>
  <c r="H2497" s="1"/>
  <c r="H2501" s="1"/>
  <c r="J2503"/>
  <c r="L2503" s="1"/>
  <c r="H2504"/>
  <c r="J2504" s="1"/>
  <c r="L2504" s="1"/>
  <c r="H2505"/>
  <c r="AS3065" l="1"/>
  <c r="AT3066"/>
  <c r="G2498"/>
  <c r="I2498" s="1"/>
  <c r="I2504"/>
  <c r="J2507"/>
  <c r="G2496"/>
  <c r="I2496" s="1"/>
  <c r="I2500" s="1"/>
  <c r="I2505"/>
  <c r="G2504"/>
  <c r="I2503"/>
  <c r="G2505"/>
  <c r="I2506"/>
  <c r="G2497"/>
  <c r="I2497" s="1"/>
  <c r="I2501" s="1"/>
  <c r="K2507"/>
  <c r="K2504"/>
  <c r="G2506"/>
  <c r="G2495"/>
  <c r="I2495" s="1"/>
  <c r="I2499" s="1"/>
  <c r="I2507"/>
  <c r="K2503"/>
  <c r="D2189"/>
  <c r="H2188"/>
  <c r="D2188"/>
  <c r="H2187"/>
  <c r="D2187"/>
  <c r="T2184"/>
  <c r="V2184" s="1"/>
  <c r="N2184" s="1"/>
  <c r="T2182"/>
  <c r="V2182" s="1"/>
  <c r="T2180"/>
  <c r="H2180"/>
  <c r="H2182" s="1"/>
  <c r="G2180"/>
  <c r="G2189" s="1"/>
  <c r="T2177"/>
  <c r="V2177" s="1"/>
  <c r="J2177"/>
  <c r="J2188" s="1"/>
  <c r="T2174"/>
  <c r="V2174" s="1"/>
  <c r="J2174"/>
  <c r="J2187" s="1"/>
  <c r="G2174"/>
  <c r="G2187" s="1"/>
  <c r="G2173"/>
  <c r="N2171"/>
  <c r="J2171"/>
  <c r="H2173" s="1"/>
  <c r="I2173" s="1"/>
  <c r="I2171"/>
  <c r="D2169"/>
  <c r="D2168"/>
  <c r="J2167"/>
  <c r="H2167"/>
  <c r="D2167"/>
  <c r="L2166"/>
  <c r="N2166" s="1"/>
  <c r="J2166"/>
  <c r="H2166"/>
  <c r="D2166"/>
  <c r="L2165"/>
  <c r="N2165" s="1"/>
  <c r="J2165"/>
  <c r="H2165"/>
  <c r="D2165"/>
  <c r="G2159"/>
  <c r="G2157"/>
  <c r="O2153"/>
  <c r="I2165" l="1"/>
  <c r="G2165"/>
  <c r="L2167"/>
  <c r="N2167" s="1"/>
  <c r="V2180"/>
  <c r="K2167" s="1"/>
  <c r="AU3066"/>
  <c r="AT3065"/>
  <c r="G2167"/>
  <c r="I2167"/>
  <c r="K2165"/>
  <c r="N2177"/>
  <c r="J2182"/>
  <c r="J2176" s="1"/>
  <c r="K2176" s="1"/>
  <c r="L2168"/>
  <c r="N2168" s="1"/>
  <c r="J2168"/>
  <c r="H2168"/>
  <c r="H2184"/>
  <c r="I2174"/>
  <c r="I2187" s="1"/>
  <c r="N2174"/>
  <c r="H2176"/>
  <c r="I2176" s="1"/>
  <c r="G2177"/>
  <c r="J2180"/>
  <c r="G2182"/>
  <c r="N2182"/>
  <c r="H2189"/>
  <c r="G2176"/>
  <c r="H2179"/>
  <c r="I2179" s="1"/>
  <c r="I2180"/>
  <c r="I2189" s="1"/>
  <c r="M2165" l="1"/>
  <c r="N2180"/>
  <c r="AU3065"/>
  <c r="AV3066"/>
  <c r="M2167"/>
  <c r="G2184"/>
  <c r="I2182"/>
  <c r="K2168"/>
  <c r="I2168"/>
  <c r="G2168"/>
  <c r="I2177"/>
  <c r="I2188" s="1"/>
  <c r="G2188"/>
  <c r="G2179"/>
  <c r="K2166"/>
  <c r="I2166"/>
  <c r="G2166"/>
  <c r="J2184"/>
  <c r="J2179" s="1"/>
  <c r="K2179" s="1"/>
  <c r="L2169"/>
  <c r="N2169" s="1"/>
  <c r="J2169"/>
  <c r="H2169"/>
  <c r="J2173"/>
  <c r="K2173" s="1"/>
  <c r="J2189"/>
  <c r="G2144"/>
  <c r="I2144" s="1"/>
  <c r="K2144" s="1"/>
  <c r="D2144"/>
  <c r="I2142"/>
  <c r="I2141"/>
  <c r="F2141"/>
  <c r="F2142" s="1"/>
  <c r="H2142" s="1"/>
  <c r="I2140"/>
  <c r="H2140"/>
  <c r="U2139"/>
  <c r="T2139"/>
  <c r="U2138"/>
  <c r="N2138" s="1"/>
  <c r="I2138"/>
  <c r="W2137"/>
  <c r="U2137"/>
  <c r="U2136"/>
  <c r="V2136" s="1"/>
  <c r="W2136" s="1"/>
  <c r="X2136" s="1"/>
  <c r="I2136"/>
  <c r="H2136"/>
  <c r="H2138" s="1"/>
  <c r="T2135"/>
  <c r="T2134"/>
  <c r="N2134" s="1"/>
  <c r="J2134"/>
  <c r="I2134"/>
  <c r="G2131"/>
  <c r="G2129"/>
  <c r="O2125"/>
  <c r="AW3066" l="1"/>
  <c r="AW3065" s="1"/>
  <c r="AV3065"/>
  <c r="H2141"/>
  <c r="I2184"/>
  <c r="K2169"/>
  <c r="I2169"/>
  <c r="G2169"/>
  <c r="M2166"/>
  <c r="M2168"/>
  <c r="J2138"/>
  <c r="H2144"/>
  <c r="J2144" s="1"/>
  <c r="L2144" s="1"/>
  <c r="N2136"/>
  <c r="J2136"/>
  <c r="M2169" l="1"/>
  <c r="D2055" l="1"/>
  <c r="N2054"/>
  <c r="I2054"/>
  <c r="N2052"/>
  <c r="I2052"/>
  <c r="N2050"/>
  <c r="I2050"/>
  <c r="N2048"/>
  <c r="I2048"/>
  <c r="H2048"/>
  <c r="H2050" s="1"/>
  <c r="L2047"/>
  <c r="L2048" s="1"/>
  <c r="L2049" s="1"/>
  <c r="L2050" s="1"/>
  <c r="L2051" s="1"/>
  <c r="L2052" s="1"/>
  <c r="L2053" s="1"/>
  <c r="L2054" s="1"/>
  <c r="L2055" s="1"/>
  <c r="N2046"/>
  <c r="J2046"/>
  <c r="I2046"/>
  <c r="G2042"/>
  <c r="O2038"/>
  <c r="H2052" l="1"/>
  <c r="J2050"/>
  <c r="J2048"/>
  <c r="H2054" l="1"/>
  <c r="J2054" s="1"/>
  <c r="J2052"/>
  <c r="I2019"/>
  <c r="F2019"/>
  <c r="D2019" s="1"/>
  <c r="I2018"/>
  <c r="F2018"/>
  <c r="D2018" s="1"/>
  <c r="N2017"/>
  <c r="L2017"/>
  <c r="K2017"/>
  <c r="D2017"/>
  <c r="F2012"/>
  <c r="I2010"/>
  <c r="H2010"/>
  <c r="J2010" s="1"/>
  <c r="U2008"/>
  <c r="J2007" s="1"/>
  <c r="H2012" s="1"/>
  <c r="G2008"/>
  <c r="I2007"/>
  <c r="I2012" s="1"/>
  <c r="G2012" s="1"/>
  <c r="G2003"/>
  <c r="O1999"/>
  <c r="F1996" l="1"/>
  <c r="D1996" s="1"/>
  <c r="F1995"/>
  <c r="D1995" s="1"/>
  <c r="F1994"/>
  <c r="D1994" s="1"/>
  <c r="N1992"/>
  <c r="J1992"/>
  <c r="I1992"/>
  <c r="N1990"/>
  <c r="J1990"/>
  <c r="I1990"/>
  <c r="F1987"/>
  <c r="D1987" s="1"/>
  <c r="F1985"/>
  <c r="D1985" s="1"/>
  <c r="G1984"/>
  <c r="F1984" s="1"/>
  <c r="D1984" s="1"/>
  <c r="F1979"/>
  <c r="D1979" s="1"/>
  <c r="F1977"/>
  <c r="D1977" s="1"/>
  <c r="G1976"/>
  <c r="F1976" s="1"/>
  <c r="D1976" s="1"/>
  <c r="F1971"/>
  <c r="D1971" s="1"/>
  <c r="F1970"/>
  <c r="D1970" s="1"/>
  <c r="F1968"/>
  <c r="D1968" s="1"/>
  <c r="G1967"/>
  <c r="F1967" s="1"/>
  <c r="D1967" s="1"/>
  <c r="F1964"/>
  <c r="D1964" s="1"/>
  <c r="F1963"/>
  <c r="D1963" s="1"/>
  <c r="F1959"/>
  <c r="D1959" s="1"/>
  <c r="F1958"/>
  <c r="D1958" s="1"/>
  <c r="F1956"/>
  <c r="D1956" s="1"/>
  <c r="G1955"/>
  <c r="F1955" s="1"/>
  <c r="D1955" s="1"/>
  <c r="F1950"/>
  <c r="D1950" s="1"/>
  <c r="F1949"/>
  <c r="D1949" s="1"/>
  <c r="F1948"/>
  <c r="D1948" s="1"/>
  <c r="F1946"/>
  <c r="D1946" s="1"/>
  <c r="G1945"/>
  <c r="F1945" s="1"/>
  <c r="D1945" s="1"/>
  <c r="D1943"/>
  <c r="D1942"/>
  <c r="F1939"/>
  <c r="D1939" s="1"/>
  <c r="F1938"/>
  <c r="D1938" s="1"/>
  <c r="F1936"/>
  <c r="D1936" s="1"/>
  <c r="G1935"/>
  <c r="F1935" s="1"/>
  <c r="D1935" s="1"/>
  <c r="D1933"/>
  <c r="F1931"/>
  <c r="D1931" s="1"/>
  <c r="F1930"/>
  <c r="D1930" s="1"/>
  <c r="F1926"/>
  <c r="D1926" s="1"/>
  <c r="F1925"/>
  <c r="D1925" s="1"/>
  <c r="F1924"/>
  <c r="D1924" s="1"/>
  <c r="F1922"/>
  <c r="D1922" s="1"/>
  <c r="G1921"/>
  <c r="F1921" s="1"/>
  <c r="D1921" s="1"/>
  <c r="D1919"/>
  <c r="F1917"/>
  <c r="D1917" s="1"/>
  <c r="F1916"/>
  <c r="D1916" s="1"/>
  <c r="F1912"/>
  <c r="D1912" s="1"/>
  <c r="F1911"/>
  <c r="D1911" s="1"/>
  <c r="F1910"/>
  <c r="D1910" s="1"/>
  <c r="F1908"/>
  <c r="D1908" s="1"/>
  <c r="G1907"/>
  <c r="F1907" s="1"/>
  <c r="D1907" s="1"/>
  <c r="D1905"/>
  <c r="F1901"/>
  <c r="D1901" s="1"/>
  <c r="F1900"/>
  <c r="D1900" s="1"/>
  <c r="F1899"/>
  <c r="D1899" s="1"/>
  <c r="F1897"/>
  <c r="D1897" s="1"/>
  <c r="G1896"/>
  <c r="F1896" s="1"/>
  <c r="D1896" s="1"/>
  <c r="B1896"/>
  <c r="B1907" s="1"/>
  <c r="F1890"/>
  <c r="D1890" s="1"/>
  <c r="F1889"/>
  <c r="D1889" s="1"/>
  <c r="F1888"/>
  <c r="D1888" s="1"/>
  <c r="F1887"/>
  <c r="D1887" s="1"/>
  <c r="F1885"/>
  <c r="D1885" s="1"/>
  <c r="G1884"/>
  <c r="F1884" s="1"/>
  <c r="D1884" s="1"/>
  <c r="F1880"/>
  <c r="D1880" s="1"/>
  <c r="F1879"/>
  <c r="D1879" s="1"/>
  <c r="F1875"/>
  <c r="D1875" s="1"/>
  <c r="F1874"/>
  <c r="D1874" s="1"/>
  <c r="F1873"/>
  <c r="D1873" s="1"/>
  <c r="F1872"/>
  <c r="D1872" s="1"/>
  <c r="F1870"/>
  <c r="D1870" s="1"/>
  <c r="G1869"/>
  <c r="F1869" s="1"/>
  <c r="D1869" s="1"/>
  <c r="D1867"/>
  <c r="D1866"/>
  <c r="F1864"/>
  <c r="D1864" s="1"/>
  <c r="F1863"/>
  <c r="D1863" s="1"/>
  <c r="F1859"/>
  <c r="D1859" s="1"/>
  <c r="F1858"/>
  <c r="D1858" s="1"/>
  <c r="F1857"/>
  <c r="D1857" s="1"/>
  <c r="F1856"/>
  <c r="D1856" s="1"/>
  <c r="F1854"/>
  <c r="D1854" s="1"/>
  <c r="G1853"/>
  <c r="F1853" s="1"/>
  <c r="D1853" s="1"/>
  <c r="F1849"/>
  <c r="D1849" s="1"/>
  <c r="F1848"/>
  <c r="D1848" s="1"/>
  <c r="F1844"/>
  <c r="D1844" s="1"/>
  <c r="F1843"/>
  <c r="D1843" s="1"/>
  <c r="F1842"/>
  <c r="D1842" s="1"/>
  <c r="F1841"/>
  <c r="D1841" s="1"/>
  <c r="F1839"/>
  <c r="D1839" s="1"/>
  <c r="G1838"/>
  <c r="F1838" s="1"/>
  <c r="D1838" s="1"/>
  <c r="B1838"/>
  <c r="G1850" s="1"/>
  <c r="I1836"/>
  <c r="G1836"/>
  <c r="D1836"/>
  <c r="D1835"/>
  <c r="A1833"/>
  <c r="G1833" s="1"/>
  <c r="I1833" s="1"/>
  <c r="F1831"/>
  <c r="D1831" s="1"/>
  <c r="F1830"/>
  <c r="D1830" s="1"/>
  <c r="F1829"/>
  <c r="D1829" s="1"/>
  <c r="I1828"/>
  <c r="I1829" s="1"/>
  <c r="I1830" s="1"/>
  <c r="I1831" s="1"/>
  <c r="F1828"/>
  <c r="D1828" s="1"/>
  <c r="I1826"/>
  <c r="F1826"/>
  <c r="D1826" s="1"/>
  <c r="I1825"/>
  <c r="G1825"/>
  <c r="F1825" s="1"/>
  <c r="D1825" s="1"/>
  <c r="C1825"/>
  <c r="C1896" s="1"/>
  <c r="L1817" s="1"/>
  <c r="G1824"/>
  <c r="G1835" s="1"/>
  <c r="I1835" s="1"/>
  <c r="D1819"/>
  <c r="AC1818"/>
  <c r="AB1818"/>
  <c r="AA1818"/>
  <c r="Z1818"/>
  <c r="M1817"/>
  <c r="M1819" s="1"/>
  <c r="K1817"/>
  <c r="K1819" s="1"/>
  <c r="G1817"/>
  <c r="G1819" s="1"/>
  <c r="D1817"/>
  <c r="G1813"/>
  <c r="G1812"/>
  <c r="I1811"/>
  <c r="I1810"/>
  <c r="O1805"/>
  <c r="H1817" l="1"/>
  <c r="I1817"/>
  <c r="I1819" s="1"/>
  <c r="H1819"/>
  <c r="G1837"/>
  <c r="I1837" s="1"/>
  <c r="F1824"/>
  <c r="J1835" s="1"/>
  <c r="H1824"/>
  <c r="H1835" s="1"/>
  <c r="A1846"/>
  <c r="G1846" s="1"/>
  <c r="I1824"/>
  <c r="I1834" s="1"/>
  <c r="B1833"/>
  <c r="H1834"/>
  <c r="C1838"/>
  <c r="H1899"/>
  <c r="H1900" s="1"/>
  <c r="H1901" s="1"/>
  <c r="H1897"/>
  <c r="H1896"/>
  <c r="C1907"/>
  <c r="B1903"/>
  <c r="H1895"/>
  <c r="F1895"/>
  <c r="G1851"/>
  <c r="I1851" s="1"/>
  <c r="I1850"/>
  <c r="A1847"/>
  <c r="G1847" s="1"/>
  <c r="B1935"/>
  <c r="B1921"/>
  <c r="G1919"/>
  <c r="I1919" s="1"/>
  <c r="G1918"/>
  <c r="I1918" s="1"/>
  <c r="I1910"/>
  <c r="I1911" s="1"/>
  <c r="I1912" s="1"/>
  <c r="I1908"/>
  <c r="I1907"/>
  <c r="A1914"/>
  <c r="G1906"/>
  <c r="I1906" s="1"/>
  <c r="H1825"/>
  <c r="H1826"/>
  <c r="H1828"/>
  <c r="H1829" s="1"/>
  <c r="H1830" s="1"/>
  <c r="H1831" s="1"/>
  <c r="G1834"/>
  <c r="H1836"/>
  <c r="J1836" s="1"/>
  <c r="B1853"/>
  <c r="I1896"/>
  <c r="I1897"/>
  <c r="I1899"/>
  <c r="I1900" s="1"/>
  <c r="I1901" s="1"/>
  <c r="I1838"/>
  <c r="I1839"/>
  <c r="I1841"/>
  <c r="I1842" s="1"/>
  <c r="I1843" s="1"/>
  <c r="I1844" s="1"/>
  <c r="G1895"/>
  <c r="A1903"/>
  <c r="G1903" s="1"/>
  <c r="I1903" s="1"/>
  <c r="F1834" l="1"/>
  <c r="B1869"/>
  <c r="G1867"/>
  <c r="I1867" s="1"/>
  <c r="A1861"/>
  <c r="G1852"/>
  <c r="I1852" s="1"/>
  <c r="G1866"/>
  <c r="I1866" s="1"/>
  <c r="G1865"/>
  <c r="I1865" s="1"/>
  <c r="I1856"/>
  <c r="I1857" s="1"/>
  <c r="I1858" s="1"/>
  <c r="I1859" s="1"/>
  <c r="I1854"/>
  <c r="I1853"/>
  <c r="B1955"/>
  <c r="G1943"/>
  <c r="I1943" s="1"/>
  <c r="I1938"/>
  <c r="I1939" s="1"/>
  <c r="I1936"/>
  <c r="I1935"/>
  <c r="G1942"/>
  <c r="I1942" s="1"/>
  <c r="A1941"/>
  <c r="G1941" s="1"/>
  <c r="I1941" s="1"/>
  <c r="G1934"/>
  <c r="I1934" s="1"/>
  <c r="I1849"/>
  <c r="I1847"/>
  <c r="H1905"/>
  <c r="H1904"/>
  <c r="B1914"/>
  <c r="H1906"/>
  <c r="F1906"/>
  <c r="C1935"/>
  <c r="C1921"/>
  <c r="H1919"/>
  <c r="J1919" s="1"/>
  <c r="H1918"/>
  <c r="F1918"/>
  <c r="B1915"/>
  <c r="H1910"/>
  <c r="H1911" s="1"/>
  <c r="H1912" s="1"/>
  <c r="H1908"/>
  <c r="H1907"/>
  <c r="N1817"/>
  <c r="C1853"/>
  <c r="B1846"/>
  <c r="H1837"/>
  <c r="F1850"/>
  <c r="B1847"/>
  <c r="H1841"/>
  <c r="H1842" s="1"/>
  <c r="H1843" s="1"/>
  <c r="H1844" s="1"/>
  <c r="H1838"/>
  <c r="J1817"/>
  <c r="H1839"/>
  <c r="F1837"/>
  <c r="J1819"/>
  <c r="G1905"/>
  <c r="I1905" s="1"/>
  <c r="G1904"/>
  <c r="I1895"/>
  <c r="I1904" s="1"/>
  <c r="A1915"/>
  <c r="G1915" s="1"/>
  <c r="G1914"/>
  <c r="B1945"/>
  <c r="G1933"/>
  <c r="I1933" s="1"/>
  <c r="G1932"/>
  <c r="I1932" s="1"/>
  <c r="I1924"/>
  <c r="I1925" s="1"/>
  <c r="I1926" s="1"/>
  <c r="I1922"/>
  <c r="I1921"/>
  <c r="A1928"/>
  <c r="G1920"/>
  <c r="I1920" s="1"/>
  <c r="O1817"/>
  <c r="O1819" s="1"/>
  <c r="I1848"/>
  <c r="I1846"/>
  <c r="J1905"/>
  <c r="F1904"/>
  <c r="H1903"/>
  <c r="C1903"/>
  <c r="J1903" s="1"/>
  <c r="H1833"/>
  <c r="C1833"/>
  <c r="J1833" s="1"/>
  <c r="F1802"/>
  <c r="D1802" s="1"/>
  <c r="F1801"/>
  <c r="D1801" s="1"/>
  <c r="F1800"/>
  <c r="D1800" s="1"/>
  <c r="I1799"/>
  <c r="I1800" s="1"/>
  <c r="H1799"/>
  <c r="H1800" s="1"/>
  <c r="F1799"/>
  <c r="D1799" s="1"/>
  <c r="F1798"/>
  <c r="D1798" s="1"/>
  <c r="F1797"/>
  <c r="D1797" s="1"/>
  <c r="I1796"/>
  <c r="I1797" s="1"/>
  <c r="H1796"/>
  <c r="H1797" s="1"/>
  <c r="F1796"/>
  <c r="D1796" s="1"/>
  <c r="F1795"/>
  <c r="D1795" s="1"/>
  <c r="F1794"/>
  <c r="D1794" s="1"/>
  <c r="F1793"/>
  <c r="D1793" s="1"/>
  <c r="I1792"/>
  <c r="I1793" s="1"/>
  <c r="I1794" s="1"/>
  <c r="F1792"/>
  <c r="D1792" s="1"/>
  <c r="F1791"/>
  <c r="D1791" s="1"/>
  <c r="F1790"/>
  <c r="D1790" s="1"/>
  <c r="F1789"/>
  <c r="D1789" s="1"/>
  <c r="I1788"/>
  <c r="I1789" s="1"/>
  <c r="I1790" s="1"/>
  <c r="F1788"/>
  <c r="D1788" s="1"/>
  <c r="H1787"/>
  <c r="H1791" s="1"/>
  <c r="F1787"/>
  <c r="D1787" s="1"/>
  <c r="F1786"/>
  <c r="D1786" s="1"/>
  <c r="F1785"/>
  <c r="D1785" s="1"/>
  <c r="I1784"/>
  <c r="I1785" s="1"/>
  <c r="I1786" s="1"/>
  <c r="H1784"/>
  <c r="H1785" s="1"/>
  <c r="F1784"/>
  <c r="D1784" s="1"/>
  <c r="F1783"/>
  <c r="D1783" s="1"/>
  <c r="I1781"/>
  <c r="H1781"/>
  <c r="F1781"/>
  <c r="D1781" s="1"/>
  <c r="F1780"/>
  <c r="D1780" s="1"/>
  <c r="F1779"/>
  <c r="D1779" s="1"/>
  <c r="F1778"/>
  <c r="D1778" s="1"/>
  <c r="F1777"/>
  <c r="D1777" s="1"/>
  <c r="I1776"/>
  <c r="I1777" s="1"/>
  <c r="I1778" s="1"/>
  <c r="H1776"/>
  <c r="H1777" s="1"/>
  <c r="H1778" s="1"/>
  <c r="F1776"/>
  <c r="D1776" s="1"/>
  <c r="F1775"/>
  <c r="D1775" s="1"/>
  <c r="F1772"/>
  <c r="D1772" s="1"/>
  <c r="F1771"/>
  <c r="D1771" s="1"/>
  <c r="I1770"/>
  <c r="I1772" s="1"/>
  <c r="H1770"/>
  <c r="H1772" s="1"/>
  <c r="I1769"/>
  <c r="I1771" s="1"/>
  <c r="H1769"/>
  <c r="H1771" s="1"/>
  <c r="J1768"/>
  <c r="I1768"/>
  <c r="J1767"/>
  <c r="I1767"/>
  <c r="F1766"/>
  <c r="D1766" s="1"/>
  <c r="F1763"/>
  <c r="D1763" s="1"/>
  <c r="F1762"/>
  <c r="D1762" s="1"/>
  <c r="J1759"/>
  <c r="I1759"/>
  <c r="J1758"/>
  <c r="I1758"/>
  <c r="F1757"/>
  <c r="D1757" s="1"/>
  <c r="F1756"/>
  <c r="D1756" s="1"/>
  <c r="G1754"/>
  <c r="G1764" s="1"/>
  <c r="F1754"/>
  <c r="F1764" s="1"/>
  <c r="J1753"/>
  <c r="I1753"/>
  <c r="F1752"/>
  <c r="D1752" s="1"/>
  <c r="F1751"/>
  <c r="D1751" s="1"/>
  <c r="G1750"/>
  <c r="D1750"/>
  <c r="H1749"/>
  <c r="G1749"/>
  <c r="I1749" s="1"/>
  <c r="D1749"/>
  <c r="I1748"/>
  <c r="I1750" s="1"/>
  <c r="H1748"/>
  <c r="H1751" s="1"/>
  <c r="H1752" s="1"/>
  <c r="F1747"/>
  <c r="D1747" s="1"/>
  <c r="F1746"/>
  <c r="D1746" s="1"/>
  <c r="F1745"/>
  <c r="D1745" s="1"/>
  <c r="I1744"/>
  <c r="I1746" s="1"/>
  <c r="I1747" s="1"/>
  <c r="H1744"/>
  <c r="H1745" s="1"/>
  <c r="H1746" s="1"/>
  <c r="F1744"/>
  <c r="D1744" s="1"/>
  <c r="I1743"/>
  <c r="H1743"/>
  <c r="H1747" s="1"/>
  <c r="F1743"/>
  <c r="D1743" s="1"/>
  <c r="F1742"/>
  <c r="D1742" s="1"/>
  <c r="I1741"/>
  <c r="H1741"/>
  <c r="I1740"/>
  <c r="H1740"/>
  <c r="D1736"/>
  <c r="D1735"/>
  <c r="F1733"/>
  <c r="D1733" s="1"/>
  <c r="F1732"/>
  <c r="D1732" s="1"/>
  <c r="F1731"/>
  <c r="D1731" s="1"/>
  <c r="F1730"/>
  <c r="D1730" s="1"/>
  <c r="I1729"/>
  <c r="I1731" s="1"/>
  <c r="H1729"/>
  <c r="H1731" s="1"/>
  <c r="F1729"/>
  <c r="D1729" s="1"/>
  <c r="I1728"/>
  <c r="H1728"/>
  <c r="F1728"/>
  <c r="D1728" s="1"/>
  <c r="F1727"/>
  <c r="D1727" s="1"/>
  <c r="D1721"/>
  <c r="D1720"/>
  <c r="N1715"/>
  <c r="J1715"/>
  <c r="I1715"/>
  <c r="N1713"/>
  <c r="J1713"/>
  <c r="F1719" s="1"/>
  <c r="I1713"/>
  <c r="G1719" s="1"/>
  <c r="G1721" s="1"/>
  <c r="G1736" s="1"/>
  <c r="G1712"/>
  <c r="G1705"/>
  <c r="O1701"/>
  <c r="A1929" l="1"/>
  <c r="G1929" s="1"/>
  <c r="G1928"/>
  <c r="I1948"/>
  <c r="I1949" s="1"/>
  <c r="I1950" s="1"/>
  <c r="I1946"/>
  <c r="I1945"/>
  <c r="B1967"/>
  <c r="A1952"/>
  <c r="G1952" s="1"/>
  <c r="I1952" s="1"/>
  <c r="G1944"/>
  <c r="I1917"/>
  <c r="I1915"/>
  <c r="H1847"/>
  <c r="C1847"/>
  <c r="J1847" s="1"/>
  <c r="H1866"/>
  <c r="J1866" s="1"/>
  <c r="F1865"/>
  <c r="H1865" s="1"/>
  <c r="B1862"/>
  <c r="H1856"/>
  <c r="H1857" s="1"/>
  <c r="H1858" s="1"/>
  <c r="H1859" s="1"/>
  <c r="H1854"/>
  <c r="H1853"/>
  <c r="C1869"/>
  <c r="H1867"/>
  <c r="J1867" s="1"/>
  <c r="B1861"/>
  <c r="H1852"/>
  <c r="F1852"/>
  <c r="L1819"/>
  <c r="H1942"/>
  <c r="J1942" s="1"/>
  <c r="B1941"/>
  <c r="H1934"/>
  <c r="F1934"/>
  <c r="C1955"/>
  <c r="H1943"/>
  <c r="J1943" s="1"/>
  <c r="H1938"/>
  <c r="H1939" s="1"/>
  <c r="H1936"/>
  <c r="H1935"/>
  <c r="A1862"/>
  <c r="G1862" s="1"/>
  <c r="G1861"/>
  <c r="G1882"/>
  <c r="I1882" s="1"/>
  <c r="G1881"/>
  <c r="I1881" s="1"/>
  <c r="I1872"/>
  <c r="I1873" s="1"/>
  <c r="I1874" s="1"/>
  <c r="I1875" s="1"/>
  <c r="I1870"/>
  <c r="I1869"/>
  <c r="B1884"/>
  <c r="A1877"/>
  <c r="G1868"/>
  <c r="I1868" s="1"/>
  <c r="I1916"/>
  <c r="I1914"/>
  <c r="F1851"/>
  <c r="H1851" s="1"/>
  <c r="H1850"/>
  <c r="H1846"/>
  <c r="C1846"/>
  <c r="J1846" s="1"/>
  <c r="H1915"/>
  <c r="C1915"/>
  <c r="J1915" s="1"/>
  <c r="B1928"/>
  <c r="H1920"/>
  <c r="F1920"/>
  <c r="C1945"/>
  <c r="H1933"/>
  <c r="J1933" s="1"/>
  <c r="H1932"/>
  <c r="F1932"/>
  <c r="B1929"/>
  <c r="H1924"/>
  <c r="H1925" s="1"/>
  <c r="H1926" s="1"/>
  <c r="H1922"/>
  <c r="H1921"/>
  <c r="P1817"/>
  <c r="H1914"/>
  <c r="C1914"/>
  <c r="J1914" s="1"/>
  <c r="I1958"/>
  <c r="I1959" s="1"/>
  <c r="I1956"/>
  <c r="I1955"/>
  <c r="B1976"/>
  <c r="A1961"/>
  <c r="G1954"/>
  <c r="Q1817"/>
  <c r="Q1819" s="1"/>
  <c r="H1788"/>
  <c r="H1792" s="1"/>
  <c r="H1750"/>
  <c r="J1750" s="1"/>
  <c r="F1734"/>
  <c r="F1737" s="1"/>
  <c r="F1722"/>
  <c r="H1720"/>
  <c r="H1735" s="1"/>
  <c r="H1719"/>
  <c r="H1733"/>
  <c r="H1732"/>
  <c r="F1765"/>
  <c r="H1765" s="1"/>
  <c r="H1764"/>
  <c r="H1766" s="1"/>
  <c r="H1786"/>
  <c r="H1790" s="1"/>
  <c r="H1794" s="1"/>
  <c r="H1789"/>
  <c r="H1793" s="1"/>
  <c r="I1733"/>
  <c r="I1732"/>
  <c r="G1765"/>
  <c r="I1765" s="1"/>
  <c r="I1764"/>
  <c r="I1766" s="1"/>
  <c r="I1719"/>
  <c r="G1722"/>
  <c r="I1730"/>
  <c r="G1734"/>
  <c r="G1737" s="1"/>
  <c r="I1751"/>
  <c r="I1752" s="1"/>
  <c r="G1755"/>
  <c r="I1755" s="1"/>
  <c r="G1720"/>
  <c r="I1745"/>
  <c r="I1754"/>
  <c r="I1756" s="1"/>
  <c r="I1757" s="1"/>
  <c r="G1760"/>
  <c r="H1730"/>
  <c r="J1749"/>
  <c r="H1754"/>
  <c r="H1756" s="1"/>
  <c r="H1757" s="1"/>
  <c r="F1755"/>
  <c r="H1755" s="1"/>
  <c r="F1760"/>
  <c r="H1916" l="1"/>
  <c r="H1917"/>
  <c r="H1848"/>
  <c r="A1962"/>
  <c r="G1962" s="1"/>
  <c r="G1961"/>
  <c r="G1965"/>
  <c r="I1954"/>
  <c r="I1965" s="1"/>
  <c r="A1981"/>
  <c r="G1981" s="1"/>
  <c r="I1981" s="1"/>
  <c r="G1975"/>
  <c r="B1984"/>
  <c r="I1979"/>
  <c r="I1977"/>
  <c r="I1976"/>
  <c r="S1817"/>
  <c r="S1819" s="1"/>
  <c r="H1929"/>
  <c r="C1929"/>
  <c r="J1929" s="1"/>
  <c r="C1967"/>
  <c r="H1953"/>
  <c r="F1953"/>
  <c r="B1952"/>
  <c r="H1944"/>
  <c r="F1944"/>
  <c r="H1948"/>
  <c r="H1949" s="1"/>
  <c r="H1950" s="1"/>
  <c r="H1946"/>
  <c r="H1945"/>
  <c r="G1894"/>
  <c r="I1894" s="1"/>
  <c r="G1893"/>
  <c r="I1893" s="1"/>
  <c r="A1892"/>
  <c r="G1892" s="1"/>
  <c r="I1892" s="1"/>
  <c r="G1883"/>
  <c r="I1883" s="1"/>
  <c r="I1887"/>
  <c r="I1888" s="1"/>
  <c r="I1889" s="1"/>
  <c r="I1890" s="1"/>
  <c r="I1885"/>
  <c r="I1884"/>
  <c r="I1863"/>
  <c r="I1861"/>
  <c r="C1976"/>
  <c r="B1961"/>
  <c r="H1954"/>
  <c r="F1954"/>
  <c r="H1965"/>
  <c r="F1965"/>
  <c r="B1962"/>
  <c r="H1958"/>
  <c r="H1959" s="1"/>
  <c r="H1956"/>
  <c r="H1955"/>
  <c r="R1817"/>
  <c r="H1861"/>
  <c r="C1861"/>
  <c r="J1861" s="1"/>
  <c r="C1884"/>
  <c r="B1877"/>
  <c r="H1868"/>
  <c r="F1868"/>
  <c r="F1882"/>
  <c r="H1882" s="1"/>
  <c r="F1881"/>
  <c r="H1881" s="1"/>
  <c r="B1878"/>
  <c r="H1872"/>
  <c r="H1873" s="1"/>
  <c r="H1874" s="1"/>
  <c r="H1875" s="1"/>
  <c r="H1870"/>
  <c r="H1869"/>
  <c r="N1819"/>
  <c r="H1862"/>
  <c r="C1862"/>
  <c r="J1862" s="1"/>
  <c r="I1931"/>
  <c r="I1929"/>
  <c r="H1849"/>
  <c r="H1928"/>
  <c r="C1928"/>
  <c r="J1928" s="1"/>
  <c r="A1878"/>
  <c r="G1878" s="1"/>
  <c r="G1877"/>
  <c r="I1862"/>
  <c r="I1864"/>
  <c r="H1941"/>
  <c r="C1941"/>
  <c r="J1941" s="1"/>
  <c r="G1953"/>
  <c r="I1944"/>
  <c r="I1953" s="1"/>
  <c r="A1973"/>
  <c r="G1973" s="1"/>
  <c r="I1973" s="1"/>
  <c r="G1966"/>
  <c r="I1970"/>
  <c r="I1971" s="1"/>
  <c r="I1968"/>
  <c r="I1967"/>
  <c r="I1930"/>
  <c r="I1928"/>
  <c r="F1761"/>
  <c r="H1761" s="1"/>
  <c r="H1760"/>
  <c r="H1762" s="1"/>
  <c r="H1763" s="1"/>
  <c r="G1735"/>
  <c r="I1720"/>
  <c r="I1735" s="1"/>
  <c r="I1721"/>
  <c r="I1736" s="1"/>
  <c r="I1734"/>
  <c r="F1738"/>
  <c r="H1737"/>
  <c r="G1761"/>
  <c r="I1761" s="1"/>
  <c r="I1760"/>
  <c r="I1762" s="1"/>
  <c r="I1763" s="1"/>
  <c r="G1738"/>
  <c r="I1737"/>
  <c r="I1722"/>
  <c r="G1723"/>
  <c r="H1734"/>
  <c r="J1720"/>
  <c r="J1735" s="1"/>
  <c r="H1721"/>
  <c r="F1723"/>
  <c r="H1722"/>
  <c r="G1698"/>
  <c r="I1694"/>
  <c r="G1695" s="1"/>
  <c r="G1696" s="1"/>
  <c r="G1697" s="1"/>
  <c r="G1694"/>
  <c r="G1693"/>
  <c r="H1692"/>
  <c r="H1696" s="1"/>
  <c r="G1692"/>
  <c r="H1691"/>
  <c r="H1694" s="1"/>
  <c r="I1689"/>
  <c r="H1689"/>
  <c r="F1689" s="1"/>
  <c r="G1687"/>
  <c r="G1689" s="1"/>
  <c r="F1687"/>
  <c r="F1691" s="1"/>
  <c r="F1694" s="1"/>
  <c r="O1678"/>
  <c r="H1864" l="1"/>
  <c r="H1931"/>
  <c r="I1880"/>
  <c r="I1878"/>
  <c r="H1878"/>
  <c r="C1878"/>
  <c r="J1878" s="1"/>
  <c r="H1887"/>
  <c r="H1888" s="1"/>
  <c r="H1889" s="1"/>
  <c r="H1890" s="1"/>
  <c r="H1885"/>
  <c r="H1884"/>
  <c r="F1894"/>
  <c r="H1894" s="1"/>
  <c r="F1893"/>
  <c r="H1893" s="1"/>
  <c r="B1892"/>
  <c r="H1883"/>
  <c r="F1883"/>
  <c r="P1819"/>
  <c r="H1961"/>
  <c r="C1961"/>
  <c r="J1961" s="1"/>
  <c r="H1952"/>
  <c r="C1952"/>
  <c r="J1952" s="1"/>
  <c r="G1983"/>
  <c r="I1983" s="1"/>
  <c r="I1987"/>
  <c r="I1985"/>
  <c r="I1984"/>
  <c r="U1817"/>
  <c r="U1819" s="1"/>
  <c r="I1964"/>
  <c r="I1962"/>
  <c r="H1930"/>
  <c r="H1863"/>
  <c r="G1974"/>
  <c r="I1966"/>
  <c r="I1974" s="1"/>
  <c r="I1879"/>
  <c r="I1877"/>
  <c r="H1877"/>
  <c r="C1877"/>
  <c r="J1877" s="1"/>
  <c r="H1962"/>
  <c r="C1962"/>
  <c r="J1962" s="1"/>
  <c r="C1984"/>
  <c r="H1979"/>
  <c r="H1977"/>
  <c r="H1976"/>
  <c r="B1981"/>
  <c r="H1975"/>
  <c r="H1982" s="1"/>
  <c r="F1975"/>
  <c r="F1982" s="1"/>
  <c r="T1817"/>
  <c r="H1970"/>
  <c r="H1971" s="1"/>
  <c r="H1968"/>
  <c r="H1967"/>
  <c r="H1974"/>
  <c r="F1974"/>
  <c r="B1973"/>
  <c r="H1966"/>
  <c r="F1966"/>
  <c r="T1819"/>
  <c r="R1819"/>
  <c r="G1982"/>
  <c r="I1982" s="1"/>
  <c r="I1975"/>
  <c r="I1963"/>
  <c r="I1961"/>
  <c r="I1723"/>
  <c r="G1724"/>
  <c r="H1736"/>
  <c r="J1721"/>
  <c r="J1736" s="1"/>
  <c r="G1739"/>
  <c r="I1739" s="1"/>
  <c r="I1738"/>
  <c r="F1739"/>
  <c r="H1739" s="1"/>
  <c r="H1738"/>
  <c r="F1724"/>
  <c r="H1723"/>
  <c r="H1695"/>
  <c r="H1697"/>
  <c r="I1692"/>
  <c r="H1693"/>
  <c r="H1698" s="1"/>
  <c r="H1963" l="1"/>
  <c r="H1981"/>
  <c r="C1981"/>
  <c r="J1981" s="1"/>
  <c r="H1987"/>
  <c r="H1985"/>
  <c r="H1984"/>
  <c r="H1983"/>
  <c r="F1983"/>
  <c r="V1817"/>
  <c r="V1819"/>
  <c r="H1964"/>
  <c r="H1879"/>
  <c r="H1880"/>
  <c r="H1973"/>
  <c r="C1973"/>
  <c r="J1973" s="1"/>
  <c r="H1892"/>
  <c r="C1892"/>
  <c r="J1892" s="1"/>
  <c r="I1724"/>
  <c r="G1725"/>
  <c r="F1725"/>
  <c r="H1724"/>
  <c r="I1697"/>
  <c r="J1697" s="1"/>
  <c r="K1697" s="1"/>
  <c r="L1697" s="1"/>
  <c r="M1697" s="1"/>
  <c r="N1697" s="1"/>
  <c r="O1697" s="1"/>
  <c r="P1697" s="1"/>
  <c r="Q1697" s="1"/>
  <c r="R1697" s="1"/>
  <c r="S1697" s="1"/>
  <c r="I1695"/>
  <c r="J1695" s="1"/>
  <c r="K1695" s="1"/>
  <c r="L1695" s="1"/>
  <c r="M1695" s="1"/>
  <c r="N1695" s="1"/>
  <c r="O1695" s="1"/>
  <c r="P1695" s="1"/>
  <c r="Q1695" s="1"/>
  <c r="R1695" s="1"/>
  <c r="S1695" s="1"/>
  <c r="I1693"/>
  <c r="J1692"/>
  <c r="K1692" s="1"/>
  <c r="L1692" s="1"/>
  <c r="F1673"/>
  <c r="D1673" s="1"/>
  <c r="G1671"/>
  <c r="G1672" s="1"/>
  <c r="G1669"/>
  <c r="H1668"/>
  <c r="H1672" s="1"/>
  <c r="I1672" s="1"/>
  <c r="J1672" s="1"/>
  <c r="K1672" s="1"/>
  <c r="L1672" s="1"/>
  <c r="M1672" s="1"/>
  <c r="N1672" s="1"/>
  <c r="O1672" s="1"/>
  <c r="P1672" s="1"/>
  <c r="Q1672" s="1"/>
  <c r="R1672" s="1"/>
  <c r="S1672" s="1"/>
  <c r="T1672" s="1"/>
  <c r="U1672" s="1"/>
  <c r="V1672" s="1"/>
  <c r="G1668"/>
  <c r="H1667"/>
  <c r="H1670" s="1"/>
  <c r="G1667"/>
  <c r="G1670" s="1"/>
  <c r="I1665"/>
  <c r="H1665"/>
  <c r="F1665" s="1"/>
  <c r="G1663"/>
  <c r="G1665" s="1"/>
  <c r="F1663"/>
  <c r="F1667" s="1"/>
  <c r="F1670" s="1"/>
  <c r="O1654"/>
  <c r="I1725" l="1"/>
  <c r="G1726"/>
  <c r="I1726" s="1"/>
  <c r="F1726"/>
  <c r="H1726" s="1"/>
  <c r="H1725"/>
  <c r="M1692"/>
  <c r="T1692"/>
  <c r="J1693"/>
  <c r="K1693" s="1"/>
  <c r="L1693" s="1"/>
  <c r="M1693" s="1"/>
  <c r="N1693" s="1"/>
  <c r="O1693" s="1"/>
  <c r="P1693" s="1"/>
  <c r="Q1693" s="1"/>
  <c r="R1693" s="1"/>
  <c r="S1693" s="1"/>
  <c r="I1698"/>
  <c r="J1698" s="1"/>
  <c r="K1698" s="1"/>
  <c r="L1698" s="1"/>
  <c r="M1698" s="1"/>
  <c r="N1698" s="1"/>
  <c r="I1696"/>
  <c r="J1696" s="1"/>
  <c r="K1696" s="1"/>
  <c r="L1696" s="1"/>
  <c r="M1696" s="1"/>
  <c r="N1696" s="1"/>
  <c r="O1696" s="1"/>
  <c r="P1696" s="1"/>
  <c r="Q1696" s="1"/>
  <c r="R1696" s="1"/>
  <c r="S1696" s="1"/>
  <c r="I1668"/>
  <c r="J1668" s="1"/>
  <c r="K1668" s="1"/>
  <c r="L1668" s="1"/>
  <c r="M1668" s="1"/>
  <c r="N1668" s="1"/>
  <c r="O1668" s="1"/>
  <c r="P1668" s="1"/>
  <c r="Q1668" s="1"/>
  <c r="R1668" s="1"/>
  <c r="S1668" s="1"/>
  <c r="T1668" s="1"/>
  <c r="U1668" s="1"/>
  <c r="V1668" s="1"/>
  <c r="I1673"/>
  <c r="G1674"/>
  <c r="G1675" s="1"/>
  <c r="H1669"/>
  <c r="H1673"/>
  <c r="H1671"/>
  <c r="I1671" s="1"/>
  <c r="J1671" s="1"/>
  <c r="K1671" s="1"/>
  <c r="L1671" s="1"/>
  <c r="M1671" s="1"/>
  <c r="N1671" s="1"/>
  <c r="O1671" s="1"/>
  <c r="P1671" s="1"/>
  <c r="Q1671" s="1"/>
  <c r="R1671" s="1"/>
  <c r="S1671" s="1"/>
  <c r="T1671" s="1"/>
  <c r="U1671" s="1"/>
  <c r="V1671" s="1"/>
  <c r="Q1698" l="1"/>
  <c r="R1698" s="1"/>
  <c r="S1698" s="1"/>
  <c r="T1698" s="1"/>
  <c r="O1698"/>
  <c r="P1698" s="1"/>
  <c r="U1692"/>
  <c r="N1692"/>
  <c r="I1669"/>
  <c r="J1669" s="1"/>
  <c r="K1669" s="1"/>
  <c r="L1669" s="1"/>
  <c r="M1669" s="1"/>
  <c r="N1669" s="1"/>
  <c r="O1669" s="1"/>
  <c r="P1669" s="1"/>
  <c r="Q1669" s="1"/>
  <c r="R1669" s="1"/>
  <c r="S1669" s="1"/>
  <c r="T1669" s="1"/>
  <c r="U1669" s="1"/>
  <c r="V1669" s="1"/>
  <c r="H1675"/>
  <c r="I1675" s="1"/>
  <c r="J1675" s="1"/>
  <c r="K1675" s="1"/>
  <c r="L1675" s="1"/>
  <c r="M1675" s="1"/>
  <c r="N1675" s="1"/>
  <c r="O1675" s="1"/>
  <c r="P1675" s="1"/>
  <c r="Q1675" s="1"/>
  <c r="R1675" s="1"/>
  <c r="S1675" s="1"/>
  <c r="T1675" s="1"/>
  <c r="U1675" s="1"/>
  <c r="V1675" s="1"/>
  <c r="O1692" l="1"/>
  <c r="V1692"/>
  <c r="I1192"/>
  <c r="H1192"/>
  <c r="G1190"/>
  <c r="I1189"/>
  <c r="H1189"/>
  <c r="I1188"/>
  <c r="F1188"/>
  <c r="D1188" s="1"/>
  <c r="I1187"/>
  <c r="F1187"/>
  <c r="D1187" s="1"/>
  <c r="G1182"/>
  <c r="O1178"/>
  <c r="W1692" l="1"/>
  <c r="P1692"/>
  <c r="E1110"/>
  <c r="E1111" s="1"/>
  <c r="E1112" s="1"/>
  <c r="E1113" s="1"/>
  <c r="E1114" s="1"/>
  <c r="E1115" s="1"/>
  <c r="E1116" s="1"/>
  <c r="E1117" s="1"/>
  <c r="E1118" s="1"/>
  <c r="E1119" s="1"/>
  <c r="E1120" s="1"/>
  <c r="E1121" s="1"/>
  <c r="E1122" s="1"/>
  <c r="E1123" s="1"/>
  <c r="E1124" s="1"/>
  <c r="E1125" s="1"/>
  <c r="E1126" s="1"/>
  <c r="E1127" s="1"/>
  <c r="E1128" s="1"/>
  <c r="E1129" s="1"/>
  <c r="E1130" s="1"/>
  <c r="E1131" s="1"/>
  <c r="E1132" s="1"/>
  <c r="D1110"/>
  <c r="D1111" s="1"/>
  <c r="D1112" s="1"/>
  <c r="D1113" s="1"/>
  <c r="D1114" s="1"/>
  <c r="D1115" s="1"/>
  <c r="D1116" s="1"/>
  <c r="D1117" s="1"/>
  <c r="D1118" s="1"/>
  <c r="D1119" s="1"/>
  <c r="D1120" s="1"/>
  <c r="D1121" s="1"/>
  <c r="D1122" s="1"/>
  <c r="D1123" s="1"/>
  <c r="D1124" s="1"/>
  <c r="D1125" s="1"/>
  <c r="D1126" s="1"/>
  <c r="D1127" s="1"/>
  <c r="D1128" s="1"/>
  <c r="D1129" s="1"/>
  <c r="D1130" s="1"/>
  <c r="D1131" s="1"/>
  <c r="D1132" s="1"/>
  <c r="G1105"/>
  <c r="G1109" s="1"/>
  <c r="F1105"/>
  <c r="F1109" s="1"/>
  <c r="G1102"/>
  <c r="G1103" s="1"/>
  <c r="F1102"/>
  <c r="F1103" s="1"/>
  <c r="I1101"/>
  <c r="I1102" s="1"/>
  <c r="I1103" s="1"/>
  <c r="H1101"/>
  <c r="H1102" s="1"/>
  <c r="H1103" s="1"/>
  <c r="G1095"/>
  <c r="G1098" s="1"/>
  <c r="F1095"/>
  <c r="F1098" s="1"/>
  <c r="G1087"/>
  <c r="G1086"/>
  <c r="I1085"/>
  <c r="D1085"/>
  <c r="J1084"/>
  <c r="D1084"/>
  <c r="H1077"/>
  <c r="J1077" s="1"/>
  <c r="G1077"/>
  <c r="I1077" s="1"/>
  <c r="H1073"/>
  <c r="H1079" s="1"/>
  <c r="J1079" s="1"/>
  <c r="G1073"/>
  <c r="G1079" s="1"/>
  <c r="I1079" s="1"/>
  <c r="J1071"/>
  <c r="I1071"/>
  <c r="I1070"/>
  <c r="F1070"/>
  <c r="D1070" s="1"/>
  <c r="F1069"/>
  <c r="D1069" s="1"/>
  <c r="O1061"/>
  <c r="G1091" l="1"/>
  <c r="G1093" s="1"/>
  <c r="I1093" s="1"/>
  <c r="F1091"/>
  <c r="F1093" s="1"/>
  <c r="H1093" s="1"/>
  <c r="Q1692"/>
  <c r="X1692"/>
  <c r="G1099"/>
  <c r="I1098"/>
  <c r="I1099" s="1"/>
  <c r="G1116"/>
  <c r="G1110"/>
  <c r="I1109"/>
  <c r="F1099"/>
  <c r="H1098"/>
  <c r="H1099" s="1"/>
  <c r="F1116"/>
  <c r="F1110"/>
  <c r="H1109"/>
  <c r="J1073"/>
  <c r="H1075"/>
  <c r="I1091"/>
  <c r="I1095"/>
  <c r="I1096" s="1"/>
  <c r="G1096"/>
  <c r="I1105"/>
  <c r="I1106" s="1"/>
  <c r="I1107" s="1"/>
  <c r="G1106"/>
  <c r="G1107" s="1"/>
  <c r="I1073"/>
  <c r="G1075"/>
  <c r="H1095"/>
  <c r="H1096" s="1"/>
  <c r="F1096"/>
  <c r="H1105"/>
  <c r="H1106" s="1"/>
  <c r="H1107" s="1"/>
  <c r="F1106"/>
  <c r="F1107" s="1"/>
  <c r="H1091" l="1"/>
  <c r="Y1692"/>
  <c r="R1692"/>
  <c r="H1081"/>
  <c r="J1081" s="1"/>
  <c r="J1075"/>
  <c r="F1132"/>
  <c r="H1132" s="1"/>
  <c r="F1117"/>
  <c r="H1116"/>
  <c r="G1122"/>
  <c r="I1122" s="1"/>
  <c r="G1111"/>
  <c r="I1110"/>
  <c r="G1081"/>
  <c r="I1081" s="1"/>
  <c r="I1075"/>
  <c r="F1111"/>
  <c r="H1110"/>
  <c r="G1117"/>
  <c r="I1116"/>
  <c r="H1021"/>
  <c r="T1021" s="1"/>
  <c r="G1021"/>
  <c r="S1021" s="1"/>
  <c r="D1021"/>
  <c r="H1020"/>
  <c r="J1020" s="1"/>
  <c r="L1020" s="1"/>
  <c r="N1020" s="1"/>
  <c r="G1020"/>
  <c r="I1020" s="1"/>
  <c r="K1020" s="1"/>
  <c r="M1020" s="1"/>
  <c r="D1020"/>
  <c r="B1019"/>
  <c r="J1019" s="1"/>
  <c r="A1019"/>
  <c r="K1019" s="1"/>
  <c r="M1019" s="1"/>
  <c r="K1018"/>
  <c r="M1018" s="1"/>
  <c r="J1018"/>
  <c r="L1018" s="1"/>
  <c r="H1017"/>
  <c r="F1017"/>
  <c r="D1017" s="1"/>
  <c r="J1015"/>
  <c r="I1015"/>
  <c r="I1017" s="1"/>
  <c r="D1015"/>
  <c r="M1014"/>
  <c r="K1014"/>
  <c r="J1014"/>
  <c r="L1014" s="1"/>
  <c r="H1010"/>
  <c r="H1011" s="1"/>
  <c r="G1010"/>
  <c r="G1011" s="1"/>
  <c r="I1011" s="1"/>
  <c r="J1007"/>
  <c r="K1005"/>
  <c r="G1007" s="1"/>
  <c r="H1005"/>
  <c r="H1006" s="1"/>
  <c r="J1006" s="1"/>
  <c r="L1006" s="1"/>
  <c r="G1005"/>
  <c r="G1006" s="1"/>
  <c r="H1004"/>
  <c r="J1004" s="1"/>
  <c r="J1003"/>
  <c r="H1001"/>
  <c r="H1002" s="1"/>
  <c r="J1002" s="1"/>
  <c r="G1001"/>
  <c r="G1002" s="1"/>
  <c r="J999"/>
  <c r="L999" s="1"/>
  <c r="N999" s="1"/>
  <c r="P999" s="1"/>
  <c r="R999" s="1"/>
  <c r="T999" s="1"/>
  <c r="V999" s="1"/>
  <c r="X999" s="1"/>
  <c r="Z999" s="1"/>
  <c r="AB999" s="1"/>
  <c r="AD999" s="1"/>
  <c r="AF999" s="1"/>
  <c r="I999"/>
  <c r="K999" s="1"/>
  <c r="M999" s="1"/>
  <c r="O999" s="1"/>
  <c r="Q999" s="1"/>
  <c r="S999" s="1"/>
  <c r="U999" s="1"/>
  <c r="W999" s="1"/>
  <c r="Y999" s="1"/>
  <c r="AA999" s="1"/>
  <c r="AC999" s="1"/>
  <c r="AE999" s="1"/>
  <c r="D999"/>
  <c r="N998"/>
  <c r="M998"/>
  <c r="I1006" s="1"/>
  <c r="L998"/>
  <c r="J1011" s="1"/>
  <c r="I998"/>
  <c r="D998"/>
  <c r="AH997"/>
  <c r="J997"/>
  <c r="L997" s="1"/>
  <c r="N997" s="1"/>
  <c r="P997" s="1"/>
  <c r="R997" s="1"/>
  <c r="T997" s="1"/>
  <c r="V997" s="1"/>
  <c r="X997" s="1"/>
  <c r="Z997" s="1"/>
  <c r="AB997" s="1"/>
  <c r="AD997" s="1"/>
  <c r="AF997" s="1"/>
  <c r="I997"/>
  <c r="K997" s="1"/>
  <c r="M997" s="1"/>
  <c r="O997" s="1"/>
  <c r="Q997" s="1"/>
  <c r="S997" s="1"/>
  <c r="U997" s="1"/>
  <c r="W997" s="1"/>
  <c r="Y997" s="1"/>
  <c r="AA997" s="1"/>
  <c r="AC997" s="1"/>
  <c r="AE997" s="1"/>
  <c r="AG997" s="1"/>
  <c r="D997"/>
  <c r="G996"/>
  <c r="F996"/>
  <c r="J995"/>
  <c r="L995" s="1"/>
  <c r="N995" s="1"/>
  <c r="P995" s="1"/>
  <c r="R995" s="1"/>
  <c r="T995" s="1"/>
  <c r="V995" s="1"/>
  <c r="X995" s="1"/>
  <c r="Z995" s="1"/>
  <c r="AB995" s="1"/>
  <c r="AD995" s="1"/>
  <c r="AF995" s="1"/>
  <c r="I995"/>
  <c r="K995" s="1"/>
  <c r="M995" s="1"/>
  <c r="O995" s="1"/>
  <c r="Q995" s="1"/>
  <c r="S995" s="1"/>
  <c r="U995" s="1"/>
  <c r="W995" s="1"/>
  <c r="Y995" s="1"/>
  <c r="AA995" s="1"/>
  <c r="AC995" s="1"/>
  <c r="AE995" s="1"/>
  <c r="D995"/>
  <c r="AJ994"/>
  <c r="AL994" s="1"/>
  <c r="AN994" s="1"/>
  <c r="AP994" s="1"/>
  <c r="AR994" s="1"/>
  <c r="AT994" s="1"/>
  <c r="AV994" s="1"/>
  <c r="AI994"/>
  <c r="AK994" s="1"/>
  <c r="AM994" s="1"/>
  <c r="AO994" s="1"/>
  <c r="AQ994" s="1"/>
  <c r="AS994" s="1"/>
  <c r="AU994" s="1"/>
  <c r="N994"/>
  <c r="M994"/>
  <c r="I1005" s="1"/>
  <c r="L994"/>
  <c r="J1010" s="1"/>
  <c r="K994"/>
  <c r="I1001" s="1"/>
  <c r="I1002" s="1"/>
  <c r="D994"/>
  <c r="G992"/>
  <c r="B991"/>
  <c r="B990"/>
  <c r="I989"/>
  <c r="H989"/>
  <c r="I988"/>
  <c r="H988"/>
  <c r="G987"/>
  <c r="I987" s="1"/>
  <c r="F987"/>
  <c r="H987" s="1"/>
  <c r="I986"/>
  <c r="H986"/>
  <c r="F985"/>
  <c r="D985" s="1"/>
  <c r="F984"/>
  <c r="D984" s="1"/>
  <c r="I983"/>
  <c r="H983"/>
  <c r="F983"/>
  <c r="D983" s="1"/>
  <c r="I982"/>
  <c r="H982"/>
  <c r="F982"/>
  <c r="D982" s="1"/>
  <c r="J981"/>
  <c r="I981"/>
  <c r="H981"/>
  <c r="G981"/>
  <c r="J980"/>
  <c r="I980"/>
  <c r="I985" s="1"/>
  <c r="H980"/>
  <c r="H985" s="1"/>
  <c r="G980"/>
  <c r="I984" s="1"/>
  <c r="O970"/>
  <c r="J998" l="1"/>
  <c r="J994"/>
  <c r="K998"/>
  <c r="S1692"/>
  <c r="AA1692" s="1"/>
  <c r="Z1692"/>
  <c r="B992"/>
  <c r="I1014"/>
  <c r="G1118"/>
  <c r="I1117"/>
  <c r="F1112"/>
  <c r="H1111"/>
  <c r="G1123"/>
  <c r="I1123" s="1"/>
  <c r="G1112"/>
  <c r="I1111"/>
  <c r="F1131"/>
  <c r="H1131" s="1"/>
  <c r="F1118"/>
  <c r="H1117"/>
  <c r="G1014"/>
  <c r="G1003"/>
  <c r="I1003" s="1"/>
  <c r="H1018"/>
  <c r="F1018"/>
  <c r="I1019"/>
  <c r="G1019"/>
  <c r="H1014"/>
  <c r="F1014"/>
  <c r="I1018"/>
  <c r="G1018"/>
  <c r="L1019"/>
  <c r="H1019" s="1"/>
  <c r="H996"/>
  <c r="J1005"/>
  <c r="L1005" s="1"/>
  <c r="I1010"/>
  <c r="J1021"/>
  <c r="H984"/>
  <c r="J1001"/>
  <c r="K1006"/>
  <c r="I1021"/>
  <c r="F1019" l="1"/>
  <c r="G1124"/>
  <c r="I1124" s="1"/>
  <c r="G1113"/>
  <c r="I1112"/>
  <c r="F1130"/>
  <c r="H1130" s="1"/>
  <c r="F1119"/>
  <c r="H1118"/>
  <c r="F1113"/>
  <c r="H1112"/>
  <c r="G1119"/>
  <c r="I1118"/>
  <c r="Q1021"/>
  <c r="O1021" s="1"/>
  <c r="M1021"/>
  <c r="K1021"/>
  <c r="R1021"/>
  <c r="P1021" s="1"/>
  <c r="N1021"/>
  <c r="L1021"/>
  <c r="G1004"/>
  <c r="I1004" s="1"/>
  <c r="I1007"/>
  <c r="J929"/>
  <c r="H929"/>
  <c r="G929"/>
  <c r="I929" s="1"/>
  <c r="H926"/>
  <c r="J926" s="1"/>
  <c r="G926"/>
  <c r="H925"/>
  <c r="J925" s="1"/>
  <c r="G925"/>
  <c r="J923"/>
  <c r="L923" s="1"/>
  <c r="N923" s="1"/>
  <c r="P923" s="1"/>
  <c r="R923" s="1"/>
  <c r="T923" s="1"/>
  <c r="V923" s="1"/>
  <c r="X923" s="1"/>
  <c r="Z923" s="1"/>
  <c r="AB923" s="1"/>
  <c r="AD923" s="1"/>
  <c r="AF923" s="1"/>
  <c r="AH923" s="1"/>
  <c r="AJ923" s="1"/>
  <c r="AL923" s="1"/>
  <c r="AN923" s="1"/>
  <c r="AP923" s="1"/>
  <c r="AR923" s="1"/>
  <c r="AT923" s="1"/>
  <c r="AV923" s="1"/>
  <c r="G923"/>
  <c r="I923" s="1"/>
  <c r="K923" s="1"/>
  <c r="M923" s="1"/>
  <c r="O923" s="1"/>
  <c r="Q923" s="1"/>
  <c r="S923" s="1"/>
  <c r="U923" s="1"/>
  <c r="W923" s="1"/>
  <c r="Y923" s="1"/>
  <c r="AA923" s="1"/>
  <c r="AC923" s="1"/>
  <c r="AE923" s="1"/>
  <c r="AG923" s="1"/>
  <c r="AI923" s="1"/>
  <c r="AK923" s="1"/>
  <c r="AM923" s="1"/>
  <c r="AO923" s="1"/>
  <c r="AQ923" s="1"/>
  <c r="AS923" s="1"/>
  <c r="AU923" s="1"/>
  <c r="D923"/>
  <c r="G921"/>
  <c r="L920"/>
  <c r="I920"/>
  <c r="I926" s="1"/>
  <c r="D920"/>
  <c r="L919"/>
  <c r="I919"/>
  <c r="I925" s="1"/>
  <c r="D919"/>
  <c r="G917"/>
  <c r="F914"/>
  <c r="D914" s="1"/>
  <c r="F913"/>
  <c r="D913" s="1"/>
  <c r="J912"/>
  <c r="H913" s="1"/>
  <c r="I912"/>
  <c r="H912"/>
  <c r="G912"/>
  <c r="J911"/>
  <c r="I911"/>
  <c r="I914" s="1"/>
  <c r="H911"/>
  <c r="H914" s="1"/>
  <c r="G911"/>
  <c r="I913" s="1"/>
  <c r="I910"/>
  <c r="H910"/>
  <c r="F910"/>
  <c r="D910" s="1"/>
  <c r="I909"/>
  <c r="H909"/>
  <c r="F909"/>
  <c r="D909" s="1"/>
  <c r="O899"/>
  <c r="G1120" l="1"/>
  <c r="I1119"/>
  <c r="F1114"/>
  <c r="H1113"/>
  <c r="F1129"/>
  <c r="H1129" s="1"/>
  <c r="F1120"/>
  <c r="H1119"/>
  <c r="G1125"/>
  <c r="I1125" s="1"/>
  <c r="G1114"/>
  <c r="I1113"/>
  <c r="K919"/>
  <c r="K920"/>
  <c r="G1126" l="1"/>
  <c r="I1126" s="1"/>
  <c r="G1115"/>
  <c r="I1114"/>
  <c r="F1115"/>
  <c r="H1115" s="1"/>
  <c r="H1114"/>
  <c r="G1121"/>
  <c r="I1121" s="1"/>
  <c r="I1120"/>
  <c r="F1128"/>
  <c r="H1128" s="1"/>
  <c r="F1121"/>
  <c r="H1120"/>
  <c r="F774"/>
  <c r="D774" s="1"/>
  <c r="F773"/>
  <c r="D773" s="1"/>
  <c r="F772"/>
  <c r="D772" s="1"/>
  <c r="H770"/>
  <c r="J770" s="1"/>
  <c r="L770" s="1"/>
  <c r="N770" s="1"/>
  <c r="G770"/>
  <c r="I770" s="1"/>
  <c r="K770" s="1"/>
  <c r="M770" s="1"/>
  <c r="D770"/>
  <c r="D766"/>
  <c r="D765"/>
  <c r="D764"/>
  <c r="B764"/>
  <c r="A764"/>
  <c r="D762"/>
  <c r="D761"/>
  <c r="D759"/>
  <c r="D758"/>
  <c r="H757"/>
  <c r="B765" s="1"/>
  <c r="G757"/>
  <c r="I757" s="1"/>
  <c r="D757"/>
  <c r="J756"/>
  <c r="H764" s="1"/>
  <c r="I756"/>
  <c r="G764" s="1"/>
  <c r="D756"/>
  <c r="I751"/>
  <c r="O747"/>
  <c r="F1122" l="1"/>
  <c r="H1121"/>
  <c r="G1127"/>
  <c r="I1115"/>
  <c r="I772"/>
  <c r="K764"/>
  <c r="I764"/>
  <c r="H772"/>
  <c r="L764"/>
  <c r="J764"/>
  <c r="G765"/>
  <c r="G759"/>
  <c r="I759" s="1"/>
  <c r="K757"/>
  <c r="I773"/>
  <c r="K756"/>
  <c r="M756" s="1"/>
  <c r="J757"/>
  <c r="G758"/>
  <c r="G761"/>
  <c r="I761" s="1"/>
  <c r="K761" s="1"/>
  <c r="A765"/>
  <c r="L756"/>
  <c r="N756" s="1"/>
  <c r="H758"/>
  <c r="H761"/>
  <c r="J761" s="1"/>
  <c r="L761" s="1"/>
  <c r="G1128" l="1"/>
  <c r="I1127"/>
  <c r="F1123"/>
  <c r="H1122"/>
  <c r="J758"/>
  <c r="B766"/>
  <c r="A766"/>
  <c r="I758"/>
  <c r="H773"/>
  <c r="H765"/>
  <c r="K765" s="1"/>
  <c r="H759"/>
  <c r="J759" s="1"/>
  <c r="L757"/>
  <c r="H419"/>
  <c r="H416"/>
  <c r="I416" s="1"/>
  <c r="J416" s="1"/>
  <c r="K416" s="1"/>
  <c r="L416" s="1"/>
  <c r="M416" s="1"/>
  <c r="N416" s="1"/>
  <c r="O416" s="1"/>
  <c r="P416" s="1"/>
  <c r="Q416" s="1"/>
  <c r="R416" s="1"/>
  <c r="S416" s="1"/>
  <c r="T416" s="1"/>
  <c r="U416" s="1"/>
  <c r="V416" s="1"/>
  <c r="W416" s="1"/>
  <c r="X416" s="1"/>
  <c r="Y416" s="1"/>
  <c r="Z416" s="1"/>
  <c r="AA416" s="1"/>
  <c r="AB416" s="1"/>
  <c r="AC416" s="1"/>
  <c r="AD416" s="1"/>
  <c r="AE416" s="1"/>
  <c r="AF416" s="1"/>
  <c r="AG416" s="1"/>
  <c r="AH416" s="1"/>
  <c r="AI416" s="1"/>
  <c r="AJ416" s="1"/>
  <c r="AK416" s="1"/>
  <c r="AL416" s="1"/>
  <c r="AM416" s="1"/>
  <c r="AN416" s="1"/>
  <c r="AO416" s="1"/>
  <c r="AP416" s="1"/>
  <c r="AQ416" s="1"/>
  <c r="AR416" s="1"/>
  <c r="AS416" s="1"/>
  <c r="AT416" s="1"/>
  <c r="AU416" s="1"/>
  <c r="AV416" s="1"/>
  <c r="AW416" s="1"/>
  <c r="AX416" s="1"/>
  <c r="G414"/>
  <c r="G419" s="1"/>
  <c r="I419" s="1"/>
  <c r="J419" s="1"/>
  <c r="K419" s="1"/>
  <c r="L419" s="1"/>
  <c r="M419" s="1"/>
  <c r="N419" s="1"/>
  <c r="O419" s="1"/>
  <c r="P419" s="1"/>
  <c r="Q419" s="1"/>
  <c r="R419" s="1"/>
  <c r="S419" s="1"/>
  <c r="T419" s="1"/>
  <c r="U419" s="1"/>
  <c r="V419" s="1"/>
  <c r="W419" s="1"/>
  <c r="X419" s="1"/>
  <c r="Y419" s="1"/>
  <c r="Z419" s="1"/>
  <c r="AA419" s="1"/>
  <c r="AB419" s="1"/>
  <c r="AC419" s="1"/>
  <c r="AD419" s="1"/>
  <c r="AE419" s="1"/>
  <c r="AF419" s="1"/>
  <c r="AG419" s="1"/>
  <c r="AH419" s="1"/>
  <c r="AI419" s="1"/>
  <c r="AJ419" s="1"/>
  <c r="AK419" s="1"/>
  <c r="AL419" s="1"/>
  <c r="AM419" s="1"/>
  <c r="AN419" s="1"/>
  <c r="AO419" s="1"/>
  <c r="AP419" s="1"/>
  <c r="AQ419" s="1"/>
  <c r="AR419" s="1"/>
  <c r="AS419" s="1"/>
  <c r="AT419" s="1"/>
  <c r="AU419" s="1"/>
  <c r="AV419" s="1"/>
  <c r="AW419" s="1"/>
  <c r="AX419" s="1"/>
  <c r="AY419" s="1"/>
  <c r="AZ419" s="1"/>
  <c r="BA419" s="1"/>
  <c r="BB419" s="1"/>
  <c r="BC419" s="1"/>
  <c r="BD419" s="1"/>
  <c r="BE419" s="1"/>
  <c r="BF419" s="1"/>
  <c r="BG419" s="1"/>
  <c r="BH419" s="1"/>
  <c r="H413"/>
  <c r="J413" s="1"/>
  <c r="F413"/>
  <c r="F414" s="1"/>
  <c r="F415" s="1"/>
  <c r="E413"/>
  <c r="E414" s="1"/>
  <c r="E415" s="1"/>
  <c r="J412"/>
  <c r="I412"/>
  <c r="G415" s="1"/>
  <c r="I415" s="1"/>
  <c r="G412"/>
  <c r="G406" s="1"/>
  <c r="D412"/>
  <c r="D413" s="1"/>
  <c r="D414" s="1"/>
  <c r="D415" s="1"/>
  <c r="G408"/>
  <c r="I408" s="1"/>
  <c r="I406"/>
  <c r="H406"/>
  <c r="J406" s="1"/>
  <c r="F406"/>
  <c r="E406"/>
  <c r="I403"/>
  <c r="O400"/>
  <c r="D406" l="1"/>
  <c r="F1124"/>
  <c r="H1123"/>
  <c r="G1129"/>
  <c r="I1128"/>
  <c r="H766"/>
  <c r="L758"/>
  <c r="N758" s="1"/>
  <c r="H762"/>
  <c r="J762" s="1"/>
  <c r="I765"/>
  <c r="L765"/>
  <c r="J765"/>
  <c r="G762"/>
  <c r="I762" s="1"/>
  <c r="G766"/>
  <c r="K758"/>
  <c r="M758" s="1"/>
  <c r="G413"/>
  <c r="I413"/>
  <c r="H414"/>
  <c r="J414"/>
  <c r="I414"/>
  <c r="G1130" l="1"/>
  <c r="I1129"/>
  <c r="F1125"/>
  <c r="H1124"/>
  <c r="I774"/>
  <c r="K766"/>
  <c r="I766"/>
  <c r="H774"/>
  <c r="L766"/>
  <c r="J766"/>
  <c r="J415"/>
  <c r="J408"/>
  <c r="H415"/>
  <c r="H408"/>
  <c r="F159"/>
  <c r="H158"/>
  <c r="J158" s="1"/>
  <c r="L158" s="1"/>
  <c r="F155"/>
  <c r="D155" s="1"/>
  <c r="F154"/>
  <c r="D154" s="1"/>
  <c r="H152"/>
  <c r="D152"/>
  <c r="H145"/>
  <c r="G145"/>
  <c r="I145" s="1"/>
  <c r="H144"/>
  <c r="G144"/>
  <c r="I144" s="1"/>
  <c r="K144" s="1"/>
  <c r="H141"/>
  <c r="J141" s="1"/>
  <c r="G141"/>
  <c r="H140"/>
  <c r="L140" s="1"/>
  <c r="G140"/>
  <c r="R138"/>
  <c r="H150" s="1"/>
  <c r="L138"/>
  <c r="H162" s="1"/>
  <c r="I162" s="1"/>
  <c r="K138"/>
  <c r="G158" s="1"/>
  <c r="G136"/>
  <c r="B136"/>
  <c r="C135"/>
  <c r="C136" s="1"/>
  <c r="F133"/>
  <c r="D133" s="1"/>
  <c r="F132"/>
  <c r="D132" s="1"/>
  <c r="O122"/>
  <c r="F1126" l="1"/>
  <c r="H1125"/>
  <c r="G1131"/>
  <c r="I1130"/>
  <c r="J138"/>
  <c r="A136"/>
  <c r="A137" s="1"/>
  <c r="J152"/>
  <c r="L152" s="1"/>
  <c r="M138"/>
  <c r="O138"/>
  <c r="K140"/>
  <c r="I138"/>
  <c r="P138"/>
  <c r="J140"/>
  <c r="L144"/>
  <c r="I152"/>
  <c r="G152" s="1"/>
  <c r="G1132" l="1"/>
  <c r="I1132" s="1"/>
  <c r="I1131"/>
  <c r="F1127"/>
  <c r="H1127" s="1"/>
  <c r="H1126"/>
  <c r="J145"/>
  <c r="J144"/>
  <c r="N138"/>
  <c r="F150" s="1"/>
  <c r="K158"/>
  <c r="G150"/>
  <c r="G162"/>
  <c r="I158"/>
  <c r="Q138"/>
  <c r="H120"/>
  <c r="D120"/>
  <c r="F119"/>
  <c r="D119" s="1"/>
  <c r="H116"/>
  <c r="G116"/>
  <c r="I116" s="1"/>
  <c r="H115"/>
  <c r="G115"/>
  <c r="I115" s="1"/>
  <c r="K115" s="1"/>
  <c r="H112"/>
  <c r="J112" s="1"/>
  <c r="G112"/>
  <c r="H111"/>
  <c r="L111" s="1"/>
  <c r="G111"/>
  <c r="F108"/>
  <c r="D108" s="1"/>
  <c r="F107"/>
  <c r="D107" s="1"/>
  <c r="R106"/>
  <c r="L106"/>
  <c r="L115" s="1"/>
  <c r="K106"/>
  <c r="I120" s="1"/>
  <c r="G120" s="1"/>
  <c r="G104"/>
  <c r="B104"/>
  <c r="C103"/>
  <c r="I106" s="1"/>
  <c r="F101"/>
  <c r="D101" s="1"/>
  <c r="F100"/>
  <c r="D100" s="1"/>
  <c r="O90"/>
  <c r="K152" l="1"/>
  <c r="I150"/>
  <c r="I141"/>
  <c r="I140"/>
  <c r="C104"/>
  <c r="A104" s="1"/>
  <c r="A105" s="1"/>
  <c r="J106"/>
  <c r="P106"/>
  <c r="M106"/>
  <c r="O106"/>
  <c r="Q106" s="1"/>
  <c r="K111"/>
  <c r="J120"/>
  <c r="L120" s="1"/>
  <c r="J111"/>
  <c r="K120" l="1"/>
  <c r="I112"/>
  <c r="I111"/>
  <c r="J116"/>
  <c r="J115"/>
  <c r="N106"/>
  <c r="F88"/>
  <c r="D88" s="1"/>
  <c r="F87"/>
  <c r="D87" s="1"/>
  <c r="J86"/>
  <c r="L86" s="1"/>
  <c r="N86" s="1"/>
  <c r="P86" s="1"/>
  <c r="R86" s="1"/>
  <c r="T86" s="1"/>
  <c r="V86" s="1"/>
  <c r="X86" s="1"/>
  <c r="Z86" s="1"/>
  <c r="AB86" s="1"/>
  <c r="AD86" s="1"/>
  <c r="AF86" s="1"/>
  <c r="I86"/>
  <c r="K86" s="1"/>
  <c r="M86" s="1"/>
  <c r="O86" s="1"/>
  <c r="Q86" s="1"/>
  <c r="S86" s="1"/>
  <c r="U86" s="1"/>
  <c r="W86" s="1"/>
  <c r="Y86" s="1"/>
  <c r="AA86" s="1"/>
  <c r="AC86" s="1"/>
  <c r="AE86" s="1"/>
  <c r="D86"/>
  <c r="G84"/>
  <c r="F83"/>
  <c r="D83" s="1"/>
  <c r="F82"/>
  <c r="D82" s="1"/>
  <c r="J80"/>
  <c r="I80"/>
  <c r="J79"/>
  <c r="H79"/>
  <c r="G79"/>
  <c r="I79" s="1"/>
  <c r="K75"/>
  <c r="G76" s="1"/>
  <c r="H75"/>
  <c r="J75" s="1"/>
  <c r="G75"/>
  <c r="I74"/>
  <c r="H74"/>
  <c r="J74" s="1"/>
  <c r="G74"/>
  <c r="N72"/>
  <c r="M72"/>
  <c r="I75" s="1"/>
  <c r="D72"/>
  <c r="G70"/>
  <c r="B69"/>
  <c r="B68"/>
  <c r="F67"/>
  <c r="D67" s="1"/>
  <c r="F66"/>
  <c r="D66" s="1"/>
  <c r="O56"/>
  <c r="B70" l="1"/>
  <c r="I76"/>
  <c r="L75"/>
  <c r="S53" l="1"/>
  <c r="T52"/>
  <c r="T53" s="1"/>
  <c r="I49"/>
  <c r="H49"/>
  <c r="F49"/>
  <c r="D49" s="1"/>
  <c r="I45"/>
  <c r="H45"/>
  <c r="F45"/>
  <c r="D45" s="1"/>
  <c r="N43"/>
  <c r="M43"/>
  <c r="G41"/>
  <c r="F38"/>
  <c r="D38" s="1"/>
  <c r="F37"/>
  <c r="D37" s="1"/>
  <c r="G2525" l="1"/>
  <c r="I2525" s="1"/>
  <c r="I2529" s="1"/>
  <c r="G2526"/>
  <c r="I2526" s="1"/>
  <c r="I2530" s="1"/>
  <c r="G2524"/>
  <c r="I2524" s="1"/>
  <c r="I2528" s="1"/>
  <c r="G2527"/>
  <c r="I2527" s="1"/>
  <c r="U52"/>
  <c r="U53" l="1"/>
  <c r="V52"/>
  <c r="N4"/>
  <c r="Q3"/>
  <c r="R2"/>
  <c r="R3" s="1"/>
  <c r="V53" l="1"/>
  <c r="W52"/>
  <c r="S2"/>
  <c r="F4692"/>
  <c r="D4692" s="1"/>
  <c r="F4690"/>
  <c r="D4690" s="1"/>
  <c r="G4689"/>
  <c r="I4689" s="1"/>
  <c r="F4689"/>
  <c r="H4689" s="1"/>
  <c r="H4688"/>
  <c r="G4688"/>
  <c r="I4688" s="1"/>
  <c r="D4685"/>
  <c r="D4684"/>
  <c r="M4682"/>
  <c r="I4682" s="1"/>
  <c r="K4685" s="1"/>
  <c r="L4682"/>
  <c r="H4682" s="1"/>
  <c r="H4685" s="1"/>
  <c r="J4685" s="1"/>
  <c r="L4685" s="1"/>
  <c r="F4682"/>
  <c r="M4681"/>
  <c r="I4681" s="1"/>
  <c r="L4681"/>
  <c r="F4681" s="1"/>
  <c r="H4684" s="1"/>
  <c r="J4684" s="1"/>
  <c r="L4684" s="1"/>
  <c r="H4681"/>
  <c r="G4681"/>
  <c r="K4684" s="1"/>
  <c r="O4671"/>
  <c r="G4682" l="1"/>
  <c r="W53"/>
  <c r="X52"/>
  <c r="S3"/>
  <c r="T2"/>
  <c r="G4684"/>
  <c r="I4684"/>
  <c r="I4685"/>
  <c r="G4685"/>
  <c r="X53" l="1"/>
  <c r="Y52"/>
  <c r="T3"/>
  <c r="U2"/>
  <c r="Y53" l="1"/>
  <c r="Z52"/>
  <c r="U3"/>
  <c r="V2"/>
  <c r="Z53" l="1"/>
  <c r="AA52"/>
  <c r="V3"/>
  <c r="W2"/>
  <c r="AA53" l="1"/>
  <c r="AB52"/>
  <c r="W3"/>
  <c r="X2"/>
  <c r="AB53" l="1"/>
  <c r="AC52"/>
  <c r="X3"/>
  <c r="Y2"/>
  <c r="AC53" l="1"/>
  <c r="N52"/>
  <c r="Y3"/>
  <c r="Z2"/>
  <c r="H1038"/>
  <c r="G1037"/>
  <c r="I1037"/>
  <c r="H1037"/>
  <c r="J1037" s="1"/>
  <c r="I362"/>
  <c r="I361"/>
  <c r="H362"/>
  <c r="H361"/>
  <c r="K297"/>
  <c r="G292"/>
  <c r="I290"/>
  <c r="I289"/>
  <c r="H290"/>
  <c r="H289"/>
  <c r="H268"/>
  <c r="I268"/>
  <c r="I267"/>
  <c r="H267"/>
  <c r="Z3" l="1"/>
  <c r="AA2"/>
  <c r="AA3" l="1"/>
  <c r="P2"/>
  <c r="S4644"/>
  <c r="R4644" s="1"/>
  <c r="I4644"/>
  <c r="H4644"/>
  <c r="F4644"/>
  <c r="D4644" s="1"/>
  <c r="S4643"/>
  <c r="I4643" s="1"/>
  <c r="K4607" s="1"/>
  <c r="I4641"/>
  <c r="H4641"/>
  <c r="C4640"/>
  <c r="I4638"/>
  <c r="H4638"/>
  <c r="C4637"/>
  <c r="H4635"/>
  <c r="I4635" s="1"/>
  <c r="G4635"/>
  <c r="C4634"/>
  <c r="H4632"/>
  <c r="I4632" s="1"/>
  <c r="G4632"/>
  <c r="C4631"/>
  <c r="H4629"/>
  <c r="I4629" s="1"/>
  <c r="G4629"/>
  <c r="C4628"/>
  <c r="H4626"/>
  <c r="I4626" s="1"/>
  <c r="G4626"/>
  <c r="C4625"/>
  <c r="H4623"/>
  <c r="I4623" s="1"/>
  <c r="G4623"/>
  <c r="C4622"/>
  <c r="H4620"/>
  <c r="I4620" s="1"/>
  <c r="G4620"/>
  <c r="C4619"/>
  <c r="S4617"/>
  <c r="R4617" s="1"/>
  <c r="H4617"/>
  <c r="I4617" s="1"/>
  <c r="G4617"/>
  <c r="S4616"/>
  <c r="I4616" s="1"/>
  <c r="K4598" s="1"/>
  <c r="G4612"/>
  <c r="S4611"/>
  <c r="T4611" s="1"/>
  <c r="U4611" s="1"/>
  <c r="J4611"/>
  <c r="H4612" s="1"/>
  <c r="I4612" s="1"/>
  <c r="J4612" s="1"/>
  <c r="K4612" s="1"/>
  <c r="I4611"/>
  <c r="F4599"/>
  <c r="F4600" s="1"/>
  <c r="F4601" s="1"/>
  <c r="F4602" s="1"/>
  <c r="F4603" s="1"/>
  <c r="F4604" s="1"/>
  <c r="F4605" s="1"/>
  <c r="F4606" s="1"/>
  <c r="F4607" s="1"/>
  <c r="J4594"/>
  <c r="G4593"/>
  <c r="I4594" s="1"/>
  <c r="O4587"/>
  <c r="B4620" l="1"/>
  <c r="F4620" s="1"/>
  <c r="T4619"/>
  <c r="U4619"/>
  <c r="S4620"/>
  <c r="F4623"/>
  <c r="T4622"/>
  <c r="U4622"/>
  <c r="B4623"/>
  <c r="S4623"/>
  <c r="U4623" s="1"/>
  <c r="T4623" s="1"/>
  <c r="B4626"/>
  <c r="F4626" s="1"/>
  <c r="T4625"/>
  <c r="U4625"/>
  <c r="S4626"/>
  <c r="T4628"/>
  <c r="U4628"/>
  <c r="B4629"/>
  <c r="F4629" s="1"/>
  <c r="S4629"/>
  <c r="U4629" s="1"/>
  <c r="B4632"/>
  <c r="F4632" s="1"/>
  <c r="T4631"/>
  <c r="U4631"/>
  <c r="I4631" s="1"/>
  <c r="K4603" s="1"/>
  <c r="S4632"/>
  <c r="T4634"/>
  <c r="U4634"/>
  <c r="I4634" s="1"/>
  <c r="K4604" s="1"/>
  <c r="B4635"/>
  <c r="F4635" s="1"/>
  <c r="S4635"/>
  <c r="B4638"/>
  <c r="G4638" s="1"/>
  <c r="F4638" s="1"/>
  <c r="D4638" s="1"/>
  <c r="T4637"/>
  <c r="U4637"/>
  <c r="I4637" s="1"/>
  <c r="K4605" s="1"/>
  <c r="S4638"/>
  <c r="I4640"/>
  <c r="K4606" s="1"/>
  <c r="T4640"/>
  <c r="P4640" s="1"/>
  <c r="U4640"/>
  <c r="B4641"/>
  <c r="S4641"/>
  <c r="H4600"/>
  <c r="P4643"/>
  <c r="H4604"/>
  <c r="P4616"/>
  <c r="H4602"/>
  <c r="H4606"/>
  <c r="H4598"/>
  <c r="H4599"/>
  <c r="H4601"/>
  <c r="H4603"/>
  <c r="H4605"/>
  <c r="H4607"/>
  <c r="I4622"/>
  <c r="K4600" s="1"/>
  <c r="I4628"/>
  <c r="K4602" s="1"/>
  <c r="T4629"/>
  <c r="J4616"/>
  <c r="L4598" s="1"/>
  <c r="V4611"/>
  <c r="W4611" s="1"/>
  <c r="X4611" s="1"/>
  <c r="Y4611" s="1"/>
  <c r="Z4611" s="1"/>
  <c r="AA4611" s="1"/>
  <c r="AB4611" s="1"/>
  <c r="AC4611" s="1"/>
  <c r="AD4611" s="1"/>
  <c r="AE4611" s="1"/>
  <c r="AF4611" s="1"/>
  <c r="AG4611" s="1"/>
  <c r="AH4611" s="1"/>
  <c r="AI4611" s="1"/>
  <c r="AJ4611" s="1"/>
  <c r="AK4611" s="1"/>
  <c r="AL4611" s="1"/>
  <c r="G4606" s="1"/>
  <c r="I4606" s="1"/>
  <c r="P4637"/>
  <c r="G4641"/>
  <c r="F4641" s="1"/>
  <c r="D4641" s="1"/>
  <c r="I4619"/>
  <c r="K4599" s="1"/>
  <c r="I4625"/>
  <c r="K4601" s="1"/>
  <c r="J4643"/>
  <c r="L4607" s="1"/>
  <c r="R4585"/>
  <c r="I4585"/>
  <c r="H4585"/>
  <c r="F4585"/>
  <c r="D4585" s="1"/>
  <c r="P4584"/>
  <c r="J4584"/>
  <c r="I4584"/>
  <c r="K4548" s="1"/>
  <c r="I4582"/>
  <c r="H4582"/>
  <c r="C4581"/>
  <c r="I4579"/>
  <c r="H4579"/>
  <c r="C4578"/>
  <c r="H4576"/>
  <c r="I4576" s="1"/>
  <c r="G4576"/>
  <c r="C4575"/>
  <c r="H4573"/>
  <c r="I4573" s="1"/>
  <c r="G4573"/>
  <c r="C4572"/>
  <c r="H4570"/>
  <c r="I4570" s="1"/>
  <c r="G4570"/>
  <c r="C4569"/>
  <c r="H4567"/>
  <c r="I4567" s="1"/>
  <c r="G4567"/>
  <c r="C4566"/>
  <c r="H4564"/>
  <c r="I4564" s="1"/>
  <c r="G4564"/>
  <c r="C4563"/>
  <c r="H4561"/>
  <c r="I4561" s="1"/>
  <c r="G4561"/>
  <c r="C4560"/>
  <c r="R4558"/>
  <c r="H4558"/>
  <c r="I4558" s="1"/>
  <c r="G4558"/>
  <c r="R4557"/>
  <c r="P4557" s="1"/>
  <c r="J4557"/>
  <c r="L4539" s="1"/>
  <c r="I4557"/>
  <c r="K4539" s="1"/>
  <c r="S4553"/>
  <c r="R4553"/>
  <c r="G4553"/>
  <c r="T4552"/>
  <c r="T4553" s="1"/>
  <c r="J4552"/>
  <c r="H4553" s="1"/>
  <c r="I4553" s="1"/>
  <c r="J4553" s="1"/>
  <c r="K4553" s="1"/>
  <c r="I4552"/>
  <c r="L4548"/>
  <c r="F4540"/>
  <c r="F4541" s="1"/>
  <c r="F4542" s="1"/>
  <c r="F4543" s="1"/>
  <c r="F4544" s="1"/>
  <c r="F4545" s="1"/>
  <c r="F4546" s="1"/>
  <c r="F4547" s="1"/>
  <c r="F4548" s="1"/>
  <c r="J4535"/>
  <c r="G4534"/>
  <c r="I4535" s="1"/>
  <c r="O4528"/>
  <c r="U4626" l="1"/>
  <c r="J4625" s="1"/>
  <c r="L4601" s="1"/>
  <c r="J4601" s="1"/>
  <c r="R4626"/>
  <c r="G4598"/>
  <c r="I4598" s="1"/>
  <c r="U4641"/>
  <c r="T4641" s="1"/>
  <c r="R4641"/>
  <c r="U4632"/>
  <c r="T4632" s="1"/>
  <c r="R4632"/>
  <c r="U4635"/>
  <c r="T4635" s="1"/>
  <c r="R4635"/>
  <c r="T4560"/>
  <c r="U4560"/>
  <c r="B4561"/>
  <c r="S4561"/>
  <c r="R4561" s="1"/>
  <c r="U4561" s="1"/>
  <c r="J4560" s="1"/>
  <c r="L4540" s="1"/>
  <c r="B4564"/>
  <c r="U4563"/>
  <c r="I4563" s="1"/>
  <c r="K4541" s="1"/>
  <c r="T4563"/>
  <c r="S4564"/>
  <c r="R4564" s="1"/>
  <c r="U4564" s="1"/>
  <c r="T4564" s="1"/>
  <c r="B4567"/>
  <c r="F4567" s="1"/>
  <c r="T4566"/>
  <c r="U4566"/>
  <c r="S4567"/>
  <c r="R4567" s="1"/>
  <c r="U4567" s="1"/>
  <c r="T4567" s="1"/>
  <c r="B4570"/>
  <c r="U4569"/>
  <c r="T4569"/>
  <c r="S4570"/>
  <c r="R4570" s="1"/>
  <c r="U4570" s="1"/>
  <c r="J4569" s="1"/>
  <c r="L4543" s="1"/>
  <c r="T4572"/>
  <c r="U4572"/>
  <c r="B4573"/>
  <c r="S4573"/>
  <c r="R4573" s="1"/>
  <c r="U4573" s="1"/>
  <c r="B4576"/>
  <c r="F4576" s="1"/>
  <c r="T4575"/>
  <c r="U4575"/>
  <c r="S4576"/>
  <c r="R4576" s="1"/>
  <c r="U4576" s="1"/>
  <c r="J4575" s="1"/>
  <c r="L4545" s="1"/>
  <c r="B4579"/>
  <c r="T4578"/>
  <c r="U4578"/>
  <c r="S4579"/>
  <c r="R4579" s="1"/>
  <c r="U4579" s="1"/>
  <c r="T4579" s="1"/>
  <c r="B4582"/>
  <c r="T4581"/>
  <c r="U4581"/>
  <c r="S4582"/>
  <c r="R4582" s="1"/>
  <c r="U4582" s="1"/>
  <c r="T4582" s="1"/>
  <c r="U4638"/>
  <c r="T4638" s="1"/>
  <c r="R4638"/>
  <c r="U4620"/>
  <c r="R4620"/>
  <c r="R4623"/>
  <c r="R4629"/>
  <c r="J4622"/>
  <c r="L4600" s="1"/>
  <c r="J4600" s="1"/>
  <c r="F4564"/>
  <c r="F4570"/>
  <c r="I4572"/>
  <c r="K4544" s="1"/>
  <c r="G4579"/>
  <c r="F4579" s="1"/>
  <c r="D4579" s="1"/>
  <c r="G4582"/>
  <c r="F4582" s="1"/>
  <c r="D4582" s="1"/>
  <c r="I4581"/>
  <c r="K4547" s="1"/>
  <c r="T4573"/>
  <c r="P4634"/>
  <c r="P4628"/>
  <c r="P4622"/>
  <c r="G4604"/>
  <c r="I4604" s="1"/>
  <c r="G4600"/>
  <c r="I4600" s="1"/>
  <c r="J4598"/>
  <c r="J4607"/>
  <c r="G4602"/>
  <c r="I4602" s="1"/>
  <c r="J4628"/>
  <c r="L4602" s="1"/>
  <c r="J4602" s="1"/>
  <c r="J4634"/>
  <c r="L4604" s="1"/>
  <c r="J4604" s="1"/>
  <c r="P4611"/>
  <c r="J4640"/>
  <c r="L4606" s="1"/>
  <c r="J4606" s="1"/>
  <c r="U4552"/>
  <c r="U4553" s="1"/>
  <c r="I4560"/>
  <c r="K4540" s="1"/>
  <c r="I4566"/>
  <c r="K4542" s="1"/>
  <c r="I4578"/>
  <c r="K4546" s="1"/>
  <c r="P4631"/>
  <c r="P4619"/>
  <c r="I4569"/>
  <c r="K4543" s="1"/>
  <c r="I4575"/>
  <c r="K4545" s="1"/>
  <c r="P4625"/>
  <c r="J4631"/>
  <c r="L4603" s="1"/>
  <c r="J4603" s="1"/>
  <c r="T4620"/>
  <c r="J4619"/>
  <c r="L4599" s="1"/>
  <c r="J4599" s="1"/>
  <c r="G4607"/>
  <c r="I4607" s="1"/>
  <c r="G4605"/>
  <c r="I4605" s="1"/>
  <c r="G4603"/>
  <c r="I4603" s="1"/>
  <c r="G4601"/>
  <c r="I4601" s="1"/>
  <c r="G4599"/>
  <c r="I4599" s="1"/>
  <c r="T4626"/>
  <c r="F4561"/>
  <c r="F4573"/>
  <c r="P4560"/>
  <c r="P4572"/>
  <c r="P4581"/>
  <c r="J4578" l="1"/>
  <c r="L4546" s="1"/>
  <c r="T4561"/>
  <c r="T4576"/>
  <c r="T4570"/>
  <c r="J4637"/>
  <c r="L4605" s="1"/>
  <c r="J4605" s="1"/>
  <c r="J4563"/>
  <c r="L4541" s="1"/>
  <c r="J4572"/>
  <c r="L4544" s="1"/>
  <c r="P4578"/>
  <c r="P4566"/>
  <c r="P4569"/>
  <c r="J4581"/>
  <c r="L4547" s="1"/>
  <c r="P4575"/>
  <c r="P4563"/>
  <c r="V4552"/>
  <c r="W4552" s="1"/>
  <c r="J4566"/>
  <c r="L4542" s="1"/>
  <c r="F4518"/>
  <c r="D4518" s="1"/>
  <c r="F4517"/>
  <c r="D4517" s="1"/>
  <c r="F4513"/>
  <c r="D4513" s="1"/>
  <c r="F4512"/>
  <c r="D4512" s="1"/>
  <c r="F4511"/>
  <c r="D4511" s="1"/>
  <c r="F4510"/>
  <c r="D4510" s="1"/>
  <c r="D4505"/>
  <c r="D4504"/>
  <c r="D4503"/>
  <c r="D4502"/>
  <c r="D4501"/>
  <c r="D4500"/>
  <c r="D4499"/>
  <c r="D4498"/>
  <c r="D4497"/>
  <c r="D4496"/>
  <c r="I4494"/>
  <c r="I4495" s="1"/>
  <c r="H4494"/>
  <c r="G4494"/>
  <c r="G4495" s="1"/>
  <c r="J4493"/>
  <c r="J4494" s="1"/>
  <c r="J4495" s="1"/>
  <c r="F4491"/>
  <c r="D4491" s="1"/>
  <c r="D4488"/>
  <c r="D4486"/>
  <c r="C4486"/>
  <c r="D4485"/>
  <c r="D4484"/>
  <c r="D4483"/>
  <c r="B4483"/>
  <c r="D4482"/>
  <c r="G4477"/>
  <c r="I4477" s="1"/>
  <c r="F4477"/>
  <c r="H4477" s="1"/>
  <c r="E4476"/>
  <c r="E4477" s="1"/>
  <c r="E4478" s="1"/>
  <c r="E4479" s="1"/>
  <c r="E4480" s="1"/>
  <c r="E4481" s="1"/>
  <c r="D4476"/>
  <c r="D4477" s="1"/>
  <c r="D4478" s="1"/>
  <c r="D4479" s="1"/>
  <c r="D4480" s="1"/>
  <c r="D4481" s="1"/>
  <c r="D4474"/>
  <c r="D4473"/>
  <c r="D4472"/>
  <c r="D4471"/>
  <c r="J4470"/>
  <c r="J4471" s="1"/>
  <c r="J4472" s="1"/>
  <c r="D4470"/>
  <c r="D4469"/>
  <c r="D4468"/>
  <c r="C4468"/>
  <c r="D4467"/>
  <c r="D4466"/>
  <c r="B4466"/>
  <c r="B4467" s="1"/>
  <c r="H4465"/>
  <c r="H4466" s="1"/>
  <c r="G4465"/>
  <c r="D4465"/>
  <c r="R4464"/>
  <c r="H4482" s="1"/>
  <c r="J4464"/>
  <c r="F4478" s="1"/>
  <c r="I4464"/>
  <c r="G4470" s="1"/>
  <c r="I4470" s="1"/>
  <c r="D4464"/>
  <c r="I4463"/>
  <c r="P4462"/>
  <c r="P4461"/>
  <c r="O4452"/>
  <c r="V4553" l="1"/>
  <c r="G4466"/>
  <c r="G4520" s="1"/>
  <c r="J4463"/>
  <c r="W4553"/>
  <c r="X4552"/>
  <c r="H4495"/>
  <c r="R4465"/>
  <c r="L4496" s="1"/>
  <c r="N4496" s="1"/>
  <c r="I4462"/>
  <c r="H4483"/>
  <c r="R4482"/>
  <c r="R4483" s="1"/>
  <c r="J4482"/>
  <c r="L4482" s="1"/>
  <c r="N4482" s="1"/>
  <c r="P4482" s="1"/>
  <c r="H4490"/>
  <c r="H4478"/>
  <c r="H4514"/>
  <c r="H4467"/>
  <c r="H4468" s="1"/>
  <c r="B4468"/>
  <c r="B4485"/>
  <c r="G4514"/>
  <c r="K4464"/>
  <c r="J4465"/>
  <c r="J4466" s="1"/>
  <c r="J4467" s="1"/>
  <c r="J4468" s="1"/>
  <c r="H4470"/>
  <c r="G4478"/>
  <c r="B4484"/>
  <c r="J4519"/>
  <c r="L4464"/>
  <c r="I4465"/>
  <c r="I4466" s="1"/>
  <c r="I4467" s="1"/>
  <c r="G4467" l="1"/>
  <c r="R4466"/>
  <c r="R4467" s="1"/>
  <c r="I4468"/>
  <c r="G4476" s="1"/>
  <c r="I4476" s="1"/>
  <c r="Y4552"/>
  <c r="X4553"/>
  <c r="F4479"/>
  <c r="H4479" s="1"/>
  <c r="H4471"/>
  <c r="N4464"/>
  <c r="L4465"/>
  <c r="L4466" s="1"/>
  <c r="L4467" s="1"/>
  <c r="F4476"/>
  <c r="J4469"/>
  <c r="J4500" s="1"/>
  <c r="H4501" s="1"/>
  <c r="H4499"/>
  <c r="F4475"/>
  <c r="J4473"/>
  <c r="H4473"/>
  <c r="H4469"/>
  <c r="H4484"/>
  <c r="J4483"/>
  <c r="L4483" s="1"/>
  <c r="N4483" s="1"/>
  <c r="P4483" s="1"/>
  <c r="H4502" s="1"/>
  <c r="N4502" s="1"/>
  <c r="G4499"/>
  <c r="Q4499" s="1"/>
  <c r="G4489"/>
  <c r="G4490"/>
  <c r="I4491" s="1"/>
  <c r="I4478"/>
  <c r="L4497"/>
  <c r="N4497" s="1"/>
  <c r="K4465"/>
  <c r="K4466" s="1"/>
  <c r="K4467" s="1"/>
  <c r="G4479"/>
  <c r="G4471"/>
  <c r="I4471" s="1"/>
  <c r="M4464"/>
  <c r="K4462"/>
  <c r="L4520"/>
  <c r="G4468"/>
  <c r="B4486"/>
  <c r="B4469"/>
  <c r="B4488" s="1"/>
  <c r="H4517"/>
  <c r="J4514"/>
  <c r="H4519"/>
  <c r="H4520" s="1"/>
  <c r="H4491"/>
  <c r="J4502"/>
  <c r="L4502" s="1"/>
  <c r="R4484"/>
  <c r="Y4553" l="1"/>
  <c r="Z4552"/>
  <c r="R4485"/>
  <c r="J4503"/>
  <c r="L4503" s="1"/>
  <c r="G4475"/>
  <c r="G4473"/>
  <c r="I4473" s="1"/>
  <c r="G4469"/>
  <c r="G4498"/>
  <c r="K4468"/>
  <c r="J4474"/>
  <c r="H4474"/>
  <c r="H4513"/>
  <c r="H4476"/>
  <c r="F4480"/>
  <c r="P4464"/>
  <c r="H4472"/>
  <c r="N4465"/>
  <c r="I4469"/>
  <c r="I4500" s="1"/>
  <c r="G4472"/>
  <c r="I4472" s="1"/>
  <c r="M4465"/>
  <c r="M4462"/>
  <c r="G4480"/>
  <c r="O4464"/>
  <c r="I4489"/>
  <c r="I4490"/>
  <c r="I4479"/>
  <c r="N4498"/>
  <c r="P4498" s="1"/>
  <c r="R4468"/>
  <c r="H4485"/>
  <c r="J4484"/>
  <c r="L4484" s="1"/>
  <c r="N4484" s="1"/>
  <c r="P4484" s="1"/>
  <c r="H4503" s="1"/>
  <c r="N4503" s="1"/>
  <c r="H4515"/>
  <c r="H4512"/>
  <c r="H4475"/>
  <c r="H4498"/>
  <c r="L4468"/>
  <c r="F4390"/>
  <c r="D4390" s="1"/>
  <c r="G4387"/>
  <c r="G4388" s="1"/>
  <c r="F4385"/>
  <c r="D4385" s="1"/>
  <c r="F4384"/>
  <c r="D4384" s="1"/>
  <c r="F4383"/>
  <c r="D4383" s="1"/>
  <c r="F4382"/>
  <c r="D4382" s="1"/>
  <c r="F4381"/>
  <c r="D4381" s="1"/>
  <c r="F4380"/>
  <c r="D4380" s="1"/>
  <c r="F4379"/>
  <c r="D4379" s="1"/>
  <c r="F4378"/>
  <c r="D4378" s="1"/>
  <c r="F4377"/>
  <c r="D4377" s="1"/>
  <c r="F4376"/>
  <c r="D4376" s="1"/>
  <c r="F4375"/>
  <c r="D4375" s="1"/>
  <c r="F4374"/>
  <c r="D4374" s="1"/>
  <c r="F4373"/>
  <c r="D4373" s="1"/>
  <c r="F4372"/>
  <c r="D4372" s="1"/>
  <c r="D4359"/>
  <c r="D4358"/>
  <c r="D4357"/>
  <c r="D4356"/>
  <c r="D4355"/>
  <c r="H4354"/>
  <c r="F4360" s="1"/>
  <c r="G4354"/>
  <c r="G4360" s="1"/>
  <c r="D4354"/>
  <c r="G4347"/>
  <c r="I4372" s="1"/>
  <c r="F4347"/>
  <c r="H4372" s="1"/>
  <c r="D4346"/>
  <c r="D4345"/>
  <c r="D4344"/>
  <c r="D4343"/>
  <c r="D4342"/>
  <c r="J4341"/>
  <c r="J4342" s="1"/>
  <c r="J4343" s="1"/>
  <c r="J4344" s="1"/>
  <c r="J4345" s="1"/>
  <c r="J4346" s="1"/>
  <c r="D4341"/>
  <c r="V4339"/>
  <c r="J4339"/>
  <c r="J4354" s="1"/>
  <c r="I4339"/>
  <c r="I4387" s="1"/>
  <c r="I4388" s="1"/>
  <c r="D4339"/>
  <c r="O4329"/>
  <c r="AA4552" l="1"/>
  <c r="Z4553"/>
  <c r="H4341"/>
  <c r="F4348" s="1"/>
  <c r="H4348" s="1"/>
  <c r="L4469"/>
  <c r="L4500" s="1"/>
  <c r="J4499"/>
  <c r="H4518"/>
  <c r="H4516"/>
  <c r="J4516" s="1"/>
  <c r="L4516" s="1"/>
  <c r="J4515"/>
  <c r="J4485"/>
  <c r="L4485" s="1"/>
  <c r="N4485" s="1"/>
  <c r="P4485" s="1"/>
  <c r="H4504" s="1"/>
  <c r="R4504" s="1"/>
  <c r="H4486"/>
  <c r="O4465"/>
  <c r="G4481"/>
  <c r="Q4464"/>
  <c r="O4462"/>
  <c r="Q4462" s="1"/>
  <c r="R4462" s="1"/>
  <c r="H4496"/>
  <c r="N4466"/>
  <c r="F4481"/>
  <c r="H4481" s="1"/>
  <c r="P4465"/>
  <c r="I4499"/>
  <c r="K4469"/>
  <c r="K4500" s="1"/>
  <c r="G4508"/>
  <c r="G4474"/>
  <c r="I4474" s="1"/>
  <c r="H4508"/>
  <c r="I4512"/>
  <c r="I4513" s="1"/>
  <c r="I4475"/>
  <c r="J4504"/>
  <c r="L4504" s="1"/>
  <c r="N4504" s="1"/>
  <c r="P4504" s="1"/>
  <c r="R4486"/>
  <c r="R4469"/>
  <c r="R4500" s="1"/>
  <c r="T4500" s="1"/>
  <c r="P4499"/>
  <c r="R4499" s="1"/>
  <c r="J4490"/>
  <c r="J4489"/>
  <c r="I4480"/>
  <c r="M4466"/>
  <c r="G4496"/>
  <c r="I4508"/>
  <c r="I4510" s="1"/>
  <c r="G4501"/>
  <c r="I4501" s="1"/>
  <c r="G4500"/>
  <c r="H4480"/>
  <c r="H4489"/>
  <c r="M4520"/>
  <c r="O4498"/>
  <c r="I4379"/>
  <c r="I4360"/>
  <c r="F4366"/>
  <c r="H4386"/>
  <c r="H4387" s="1"/>
  <c r="H4388" s="1"/>
  <c r="H4379"/>
  <c r="H4360"/>
  <c r="K4339"/>
  <c r="L4339"/>
  <c r="G4341"/>
  <c r="I4347"/>
  <c r="I4354"/>
  <c r="H4355"/>
  <c r="F4361" s="1"/>
  <c r="H4361" s="1"/>
  <c r="H4347"/>
  <c r="L4354"/>
  <c r="G4355"/>
  <c r="F2218"/>
  <c r="D2218" s="1"/>
  <c r="F2217"/>
  <c r="D2217" s="1"/>
  <c r="F2216"/>
  <c r="D2216" s="1"/>
  <c r="F2215"/>
  <c r="D2215" s="1"/>
  <c r="F2214"/>
  <c r="D2214" s="1"/>
  <c r="F2213"/>
  <c r="D2213" s="1"/>
  <c r="H4373" l="1"/>
  <c r="AA4553"/>
  <c r="AB4552"/>
  <c r="K4519"/>
  <c r="M4496"/>
  <c r="H4500"/>
  <c r="H4509" s="1"/>
  <c r="H4511" s="1"/>
  <c r="J4521"/>
  <c r="J4509"/>
  <c r="J4501"/>
  <c r="J4496"/>
  <c r="P4466"/>
  <c r="H4497"/>
  <c r="N4467"/>
  <c r="R4461"/>
  <c r="S4462"/>
  <c r="S4461" s="1"/>
  <c r="K4489"/>
  <c r="K4490"/>
  <c r="I4481"/>
  <c r="H4488"/>
  <c r="J4488" s="1"/>
  <c r="L4488" s="1"/>
  <c r="N4488" s="1"/>
  <c r="J4486"/>
  <c r="L4486" s="1"/>
  <c r="N4486" s="1"/>
  <c r="P4486" s="1"/>
  <c r="H4505" s="1"/>
  <c r="R4505" s="1"/>
  <c r="G4509"/>
  <c r="K4508"/>
  <c r="S4500"/>
  <c r="G4497"/>
  <c r="M4467"/>
  <c r="J4505"/>
  <c r="L4505" s="1"/>
  <c r="N4505" s="1"/>
  <c r="P4505" s="1"/>
  <c r="R4488"/>
  <c r="J4522" s="1"/>
  <c r="H4510"/>
  <c r="J4508"/>
  <c r="L4508" s="1"/>
  <c r="Q4465"/>
  <c r="G4482"/>
  <c r="O4466"/>
  <c r="I4496"/>
  <c r="N4355"/>
  <c r="L4355"/>
  <c r="M4355"/>
  <c r="G4361"/>
  <c r="I4361" s="1"/>
  <c r="G4386"/>
  <c r="G4366"/>
  <c r="K4354"/>
  <c r="G4348"/>
  <c r="I4341"/>
  <c r="I4355"/>
  <c r="G4342"/>
  <c r="M4339"/>
  <c r="J4387"/>
  <c r="J4388" s="1"/>
  <c r="G4356"/>
  <c r="H4380"/>
  <c r="H4366"/>
  <c r="H4356"/>
  <c r="F4362" s="1"/>
  <c r="H4362" s="1"/>
  <c r="J4355"/>
  <c r="F4367" s="1"/>
  <c r="H4342"/>
  <c r="F4349" s="1"/>
  <c r="N4339"/>
  <c r="AC4552" l="1"/>
  <c r="AB4553"/>
  <c r="I4497"/>
  <c r="O4467"/>
  <c r="Q4466"/>
  <c r="K4496"/>
  <c r="M4497"/>
  <c r="I4520"/>
  <c r="G4483"/>
  <c r="I4482"/>
  <c r="K4482" s="1"/>
  <c r="M4482" s="1"/>
  <c r="O4482" s="1"/>
  <c r="Q4482" s="1"/>
  <c r="Q4483" s="1"/>
  <c r="I4498"/>
  <c r="M4468"/>
  <c r="G4521"/>
  <c r="I4509"/>
  <c r="I4511" s="1"/>
  <c r="H4522"/>
  <c r="H4524" s="1"/>
  <c r="I4524" s="1"/>
  <c r="P4488"/>
  <c r="G4519"/>
  <c r="L4490"/>
  <c r="I4519" s="1"/>
  <c r="J4498"/>
  <c r="N4468"/>
  <c r="J4497"/>
  <c r="P4467"/>
  <c r="H4374"/>
  <c r="H4349"/>
  <c r="I4342"/>
  <c r="G4349"/>
  <c r="J4356"/>
  <c r="F4368" s="1"/>
  <c r="H4343"/>
  <c r="F4350" s="1"/>
  <c r="H4357"/>
  <c r="F4363" s="1"/>
  <c r="H4363" s="1"/>
  <c r="P4339"/>
  <c r="H4381"/>
  <c r="H4367"/>
  <c r="G4362"/>
  <c r="I4362" s="1"/>
  <c r="M4356"/>
  <c r="K4387"/>
  <c r="K4388" s="1"/>
  <c r="G4357"/>
  <c r="I4356"/>
  <c r="G4343"/>
  <c r="O4339"/>
  <c r="I4386"/>
  <c r="K4355"/>
  <c r="G4367"/>
  <c r="I4373"/>
  <c r="I4348"/>
  <c r="I4380"/>
  <c r="I4366"/>
  <c r="N4356"/>
  <c r="L4356"/>
  <c r="AC4553" l="1"/>
  <c r="H4543" s="1"/>
  <c r="J4543" s="1"/>
  <c r="AD4552"/>
  <c r="L4498"/>
  <c r="P4468"/>
  <c r="N4469"/>
  <c r="N4500" s="1"/>
  <c r="L4499"/>
  <c r="K4499"/>
  <c r="M4469"/>
  <c r="M4500" s="1"/>
  <c r="G4523"/>
  <c r="I4521"/>
  <c r="L4519"/>
  <c r="G4484"/>
  <c r="I4483"/>
  <c r="K4483" s="1"/>
  <c r="M4483" s="1"/>
  <c r="O4483" s="1"/>
  <c r="G4502" s="1"/>
  <c r="I4514"/>
  <c r="I4517" s="1"/>
  <c r="K4497"/>
  <c r="Q4467"/>
  <c r="I4502"/>
  <c r="K4502" s="1"/>
  <c r="Q4484"/>
  <c r="K4498"/>
  <c r="O4468"/>
  <c r="I4381"/>
  <c r="I4367"/>
  <c r="G4350"/>
  <c r="I4343"/>
  <c r="M4357"/>
  <c r="G4363"/>
  <c r="I4363" s="1"/>
  <c r="H4358"/>
  <c r="F4364" s="1"/>
  <c r="H4364" s="1"/>
  <c r="J4357"/>
  <c r="F4369" s="1"/>
  <c r="H4344"/>
  <c r="F4351" s="1"/>
  <c r="R4339"/>
  <c r="H4375"/>
  <c r="H4350"/>
  <c r="I4357"/>
  <c r="G4344"/>
  <c r="Q4339"/>
  <c r="L4387"/>
  <c r="L4388" s="1"/>
  <c r="G4358"/>
  <c r="J4386"/>
  <c r="G4368"/>
  <c r="K4356"/>
  <c r="H4382"/>
  <c r="H4368"/>
  <c r="N4357"/>
  <c r="L4357"/>
  <c r="I4374"/>
  <c r="I4349"/>
  <c r="H4539" l="1"/>
  <c r="J4539" s="1"/>
  <c r="H4544"/>
  <c r="J4544" s="1"/>
  <c r="H4540"/>
  <c r="J4540" s="1"/>
  <c r="H4541"/>
  <c r="J4541" s="1"/>
  <c r="H4542"/>
  <c r="J4542" s="1"/>
  <c r="AE4552"/>
  <c r="AD4553"/>
  <c r="M4519"/>
  <c r="M4502"/>
  <c r="M4499"/>
  <c r="O4469"/>
  <c r="O4500" s="1"/>
  <c r="I4515"/>
  <c r="I4503"/>
  <c r="K4503" s="1"/>
  <c r="Q4485"/>
  <c r="M4498"/>
  <c r="Q4468"/>
  <c r="J4520"/>
  <c r="G4515"/>
  <c r="G4485"/>
  <c r="I4484"/>
  <c r="K4484" s="1"/>
  <c r="M4484" s="1"/>
  <c r="O4484" s="1"/>
  <c r="G4503" s="1"/>
  <c r="P4469"/>
  <c r="P4500" s="1"/>
  <c r="H4521" s="1"/>
  <c r="H4523" s="1"/>
  <c r="I4523" s="1"/>
  <c r="N4499"/>
  <c r="I4382"/>
  <c r="I4368"/>
  <c r="G4364"/>
  <c r="I4364" s="1"/>
  <c r="M4358"/>
  <c r="M4387"/>
  <c r="M4388" s="1"/>
  <c r="G4359"/>
  <c r="I4358"/>
  <c r="G4345"/>
  <c r="S4339"/>
  <c r="K4386"/>
  <c r="K4357"/>
  <c r="G4369"/>
  <c r="H4376"/>
  <c r="H4351"/>
  <c r="I4375"/>
  <c r="I4350"/>
  <c r="N4358"/>
  <c r="L4358"/>
  <c r="I4344"/>
  <c r="G4351"/>
  <c r="J4358"/>
  <c r="F4370" s="1"/>
  <c r="H4345"/>
  <c r="F4352" s="1"/>
  <c r="H4359"/>
  <c r="F4365" s="1"/>
  <c r="H4365" s="1"/>
  <c r="T4339"/>
  <c r="H4383"/>
  <c r="H4369"/>
  <c r="AE4553" l="1"/>
  <c r="AF4552"/>
  <c r="M4503"/>
  <c r="K4520"/>
  <c r="G4516"/>
  <c r="I4516" s="1"/>
  <c r="K4516" s="1"/>
  <c r="I4518"/>
  <c r="O4499"/>
  <c r="Q4469"/>
  <c r="Q4500" s="1"/>
  <c r="Q4486"/>
  <c r="I4504"/>
  <c r="K4504" s="1"/>
  <c r="N4520"/>
  <c r="G4486"/>
  <c r="I4485"/>
  <c r="K4485" s="1"/>
  <c r="M4485" s="1"/>
  <c r="O4485" s="1"/>
  <c r="G4504" s="1"/>
  <c r="J4359"/>
  <c r="F4371" s="1"/>
  <c r="H4346"/>
  <c r="F4353" s="1"/>
  <c r="H4377"/>
  <c r="H4352"/>
  <c r="I4376"/>
  <c r="I4351"/>
  <c r="N4359"/>
  <c r="L4359"/>
  <c r="I4383"/>
  <c r="I4369"/>
  <c r="G4352"/>
  <c r="I4345"/>
  <c r="M4359"/>
  <c r="G4365"/>
  <c r="I4365" s="1"/>
  <c r="H4384"/>
  <c r="H4370"/>
  <c r="I4359"/>
  <c r="G4346"/>
  <c r="U4339"/>
  <c r="L4386"/>
  <c r="G4370"/>
  <c r="K4358"/>
  <c r="AG4552" l="1"/>
  <c r="AF4553"/>
  <c r="H4545" s="1"/>
  <c r="J4545" s="1"/>
  <c r="G4488"/>
  <c r="I4488" s="1"/>
  <c r="K4488" s="1"/>
  <c r="I4486"/>
  <c r="K4486" s="1"/>
  <c r="M4486" s="1"/>
  <c r="O4486" s="1"/>
  <c r="G4505" s="1"/>
  <c r="I4505"/>
  <c r="K4505" s="1"/>
  <c r="M4505" s="1"/>
  <c r="O4505" s="1"/>
  <c r="Q4505" s="1"/>
  <c r="Q4488"/>
  <c r="O4520"/>
  <c r="M4504"/>
  <c r="O4504" s="1"/>
  <c r="Q4504" s="1"/>
  <c r="I4346"/>
  <c r="G4353"/>
  <c r="H4378"/>
  <c r="H4353"/>
  <c r="I4384"/>
  <c r="I4370"/>
  <c r="K4359"/>
  <c r="G4371"/>
  <c r="I4377"/>
  <c r="I4352"/>
  <c r="H4385"/>
  <c r="H4371"/>
  <c r="I4185"/>
  <c r="H4185"/>
  <c r="G4185"/>
  <c r="F4185"/>
  <c r="G4182"/>
  <c r="F4182" s="1"/>
  <c r="D4182" s="1"/>
  <c r="G4181"/>
  <c r="F4181" s="1"/>
  <c r="D4181" s="1"/>
  <c r="G4180"/>
  <c r="F4180" s="1"/>
  <c r="D4180" s="1"/>
  <c r="G4179"/>
  <c r="F4179" s="1"/>
  <c r="D4179" s="1"/>
  <c r="G4178"/>
  <c r="F4178" s="1"/>
  <c r="D4178" s="1"/>
  <c r="G4177"/>
  <c r="F4177" s="1"/>
  <c r="D4177" s="1"/>
  <c r="G4176"/>
  <c r="F4176" s="1"/>
  <c r="D4176" s="1"/>
  <c r="I4175"/>
  <c r="H4175"/>
  <c r="G4175"/>
  <c r="F4175" s="1"/>
  <c r="D4175" s="1"/>
  <c r="G4174"/>
  <c r="F4174" s="1"/>
  <c r="D4174" s="1"/>
  <c r="G4173"/>
  <c r="F4173" s="1"/>
  <c r="D4173" s="1"/>
  <c r="G4172"/>
  <c r="F4172" s="1"/>
  <c r="D4172" s="1"/>
  <c r="G4171"/>
  <c r="F4171" s="1"/>
  <c r="D4171" s="1"/>
  <c r="G4170"/>
  <c r="F4170" s="1"/>
  <c r="D4170" s="1"/>
  <c r="G4169"/>
  <c r="F4169" s="1"/>
  <c r="D4169" s="1"/>
  <c r="G4168"/>
  <c r="F4168" s="1"/>
  <c r="D4168" s="1"/>
  <c r="G4167"/>
  <c r="F4167" s="1"/>
  <c r="D4167" s="1"/>
  <c r="D4166"/>
  <c r="D4165"/>
  <c r="D4164"/>
  <c r="D4163"/>
  <c r="C4163"/>
  <c r="H4189" s="1"/>
  <c r="B4163"/>
  <c r="I4189" s="1"/>
  <c r="D4162"/>
  <c r="D4161"/>
  <c r="D4160"/>
  <c r="C4160"/>
  <c r="H4186" s="1"/>
  <c r="B4160"/>
  <c r="I4168" s="1"/>
  <c r="AD4159"/>
  <c r="AC4159"/>
  <c r="AB4159"/>
  <c r="AA4159"/>
  <c r="Z4159"/>
  <c r="Y4159"/>
  <c r="X4159"/>
  <c r="W4159"/>
  <c r="V4159"/>
  <c r="U4159"/>
  <c r="T4159"/>
  <c r="S4159"/>
  <c r="R4159"/>
  <c r="Q4159"/>
  <c r="P4159"/>
  <c r="O4159"/>
  <c r="N4159"/>
  <c r="M4159"/>
  <c r="L4159"/>
  <c r="K4159"/>
  <c r="J4159"/>
  <c r="I4159"/>
  <c r="H4159"/>
  <c r="G4159"/>
  <c r="D4159"/>
  <c r="D3799"/>
  <c r="H3798"/>
  <c r="N3798" s="1"/>
  <c r="G3798"/>
  <c r="K3798" s="1"/>
  <c r="M3798" s="1"/>
  <c r="D3798"/>
  <c r="H3796"/>
  <c r="N3796" s="1"/>
  <c r="G3796"/>
  <c r="K3796" s="1"/>
  <c r="M3796" s="1"/>
  <c r="D3796"/>
  <c r="H3794"/>
  <c r="N3794" s="1"/>
  <c r="G3794"/>
  <c r="K3794" s="1"/>
  <c r="M3794" s="1"/>
  <c r="D3794"/>
  <c r="H3793"/>
  <c r="H3799" s="1"/>
  <c r="J3799" s="1"/>
  <c r="G3793"/>
  <c r="G3799" s="1"/>
  <c r="D3793"/>
  <c r="F3790"/>
  <c r="D3790" s="1"/>
  <c r="I3789"/>
  <c r="I3790" s="1"/>
  <c r="G3791" s="1"/>
  <c r="I3791" s="1"/>
  <c r="H3789"/>
  <c r="H3790" s="1"/>
  <c r="J3791" s="1"/>
  <c r="H3791" s="1"/>
  <c r="F3789"/>
  <c r="D3789" s="1"/>
  <c r="H3788"/>
  <c r="J3788" s="1"/>
  <c r="G3788"/>
  <c r="I3788" s="1"/>
  <c r="H3787"/>
  <c r="J3787" s="1"/>
  <c r="G3787"/>
  <c r="I3787" s="1"/>
  <c r="F3784"/>
  <c r="D3784" s="1"/>
  <c r="I3783"/>
  <c r="I3784" s="1"/>
  <c r="G3785" s="1"/>
  <c r="H3783"/>
  <c r="H3784" s="1"/>
  <c r="H3785" s="1"/>
  <c r="F3783"/>
  <c r="D3783" s="1"/>
  <c r="H3782"/>
  <c r="J3782" s="1"/>
  <c r="G3782"/>
  <c r="I3782" s="1"/>
  <c r="H3781"/>
  <c r="J3781" s="1"/>
  <c r="G3781"/>
  <c r="I3781" s="1"/>
  <c r="H3779"/>
  <c r="N3779" s="1"/>
  <c r="G3779"/>
  <c r="K3779" s="1"/>
  <c r="M3779" s="1"/>
  <c r="D3779"/>
  <c r="H3778"/>
  <c r="AP3778" s="1"/>
  <c r="G3778"/>
  <c r="K3778" s="1"/>
  <c r="L3776"/>
  <c r="N3776" s="1"/>
  <c r="P3776" s="1"/>
  <c r="R3776" s="1"/>
  <c r="H3775"/>
  <c r="N3775" s="1"/>
  <c r="G3775"/>
  <c r="K3775" s="1"/>
  <c r="M3775" s="1"/>
  <c r="D3775"/>
  <c r="H3773"/>
  <c r="J3773" s="1"/>
  <c r="L3773" s="1"/>
  <c r="N3773" s="1"/>
  <c r="P3773" s="1"/>
  <c r="R3773" s="1"/>
  <c r="T3773" s="1"/>
  <c r="V3773" s="1"/>
  <c r="X3773" s="1"/>
  <c r="Z3773" s="1"/>
  <c r="AB3773" s="1"/>
  <c r="AD3773" s="1"/>
  <c r="AF3773" s="1"/>
  <c r="AH3773" s="1"/>
  <c r="AJ3773" s="1"/>
  <c r="AL3773" s="1"/>
  <c r="AN3773" s="1"/>
  <c r="AP3773" s="1"/>
  <c r="AR3773" s="1"/>
  <c r="AT3773" s="1"/>
  <c r="AV3773" s="1"/>
  <c r="AX3773" s="1"/>
  <c r="G3773"/>
  <c r="K3773" s="1"/>
  <c r="F3770"/>
  <c r="D3770" s="1"/>
  <c r="I3769"/>
  <c r="I3770" s="1"/>
  <c r="G3771" s="1"/>
  <c r="I3771" s="1"/>
  <c r="H3769"/>
  <c r="H3770" s="1"/>
  <c r="J3771" s="1"/>
  <c r="H3771" s="1"/>
  <c r="F3769"/>
  <c r="D3769" s="1"/>
  <c r="H3768"/>
  <c r="J3768" s="1"/>
  <c r="G3768"/>
  <c r="I3768" s="1"/>
  <c r="H3767"/>
  <c r="J3767" s="1"/>
  <c r="G3767"/>
  <c r="I3767" s="1"/>
  <c r="F3765"/>
  <c r="D3765" s="1"/>
  <c r="I3764"/>
  <c r="I3765" s="1"/>
  <c r="G3766" s="1"/>
  <c r="I3766" s="1"/>
  <c r="H3764"/>
  <c r="H3765" s="1"/>
  <c r="J3766" s="1"/>
  <c r="H3766" s="1"/>
  <c r="F3764"/>
  <c r="D3764" s="1"/>
  <c r="H3763"/>
  <c r="J3763" s="1"/>
  <c r="G3763"/>
  <c r="I3763" s="1"/>
  <c r="H3762"/>
  <c r="J3762" s="1"/>
  <c r="G3762"/>
  <c r="I3762" s="1"/>
  <c r="H3760"/>
  <c r="N3760" s="1"/>
  <c r="G3760"/>
  <c r="K3760" s="1"/>
  <c r="M3760" s="1"/>
  <c r="D3760"/>
  <c r="H3759"/>
  <c r="AB3759" s="1"/>
  <c r="G3759"/>
  <c r="Y3759" s="1"/>
  <c r="AA3759" s="1"/>
  <c r="D3759"/>
  <c r="H3757"/>
  <c r="N3757" s="1"/>
  <c r="G3757"/>
  <c r="K3757" s="1"/>
  <c r="M3757" s="1"/>
  <c r="D3757"/>
  <c r="H3756"/>
  <c r="AB3756" s="1"/>
  <c r="G3756"/>
  <c r="Y3756" s="1"/>
  <c r="AA3756" s="1"/>
  <c r="D3756"/>
  <c r="F3753"/>
  <c r="D3753" s="1"/>
  <c r="I3752"/>
  <c r="I3753" s="1"/>
  <c r="G3754" s="1"/>
  <c r="I3754" s="1"/>
  <c r="H3752"/>
  <c r="H3753" s="1"/>
  <c r="J3754" s="1"/>
  <c r="H3754" s="1"/>
  <c r="F3752"/>
  <c r="D3752" s="1"/>
  <c r="H3751"/>
  <c r="J3751" s="1"/>
  <c r="G3751"/>
  <c r="I3751" s="1"/>
  <c r="H3750"/>
  <c r="J3750" s="1"/>
  <c r="G3750"/>
  <c r="I3750" s="1"/>
  <c r="F3747"/>
  <c r="D3747" s="1"/>
  <c r="I3746"/>
  <c r="I3747" s="1"/>
  <c r="G3748" s="1"/>
  <c r="H3746"/>
  <c r="H3747" s="1"/>
  <c r="J3748" s="1"/>
  <c r="F3746"/>
  <c r="D3746" s="1"/>
  <c r="H3745"/>
  <c r="J3745" s="1"/>
  <c r="G3745"/>
  <c r="I3745" s="1"/>
  <c r="H3744"/>
  <c r="J3744" s="1"/>
  <c r="G3744"/>
  <c r="I3744" s="1"/>
  <c r="D3742"/>
  <c r="G3740"/>
  <c r="G3742" s="1"/>
  <c r="D3740"/>
  <c r="H3739"/>
  <c r="N3739" s="1"/>
  <c r="G3739"/>
  <c r="K3739" s="1"/>
  <c r="M3739" s="1"/>
  <c r="D3739"/>
  <c r="H3738"/>
  <c r="N3738" s="1"/>
  <c r="G3738"/>
  <c r="K3738" s="1"/>
  <c r="M3738" s="1"/>
  <c r="D3738"/>
  <c r="H3737"/>
  <c r="N3737" s="1"/>
  <c r="G3737"/>
  <c r="K3737" s="1"/>
  <c r="M3737" s="1"/>
  <c r="D3737"/>
  <c r="G3735"/>
  <c r="K3735" s="1"/>
  <c r="M3735" s="1"/>
  <c r="D3735"/>
  <c r="H3734"/>
  <c r="N3734" s="1"/>
  <c r="G3734"/>
  <c r="K3734" s="1"/>
  <c r="M3734" s="1"/>
  <c r="D3734"/>
  <c r="H3733"/>
  <c r="N3733" s="1"/>
  <c r="G3733"/>
  <c r="K3733" s="1"/>
  <c r="M3733" s="1"/>
  <c r="D3733"/>
  <c r="H3732"/>
  <c r="N3732" s="1"/>
  <c r="G3732"/>
  <c r="K3732" s="1"/>
  <c r="M3732" s="1"/>
  <c r="D3732"/>
  <c r="F3728"/>
  <c r="D3728" s="1"/>
  <c r="I3727"/>
  <c r="I3728" s="1"/>
  <c r="G3729" s="1"/>
  <c r="F3727"/>
  <c r="D3727" s="1"/>
  <c r="G3726"/>
  <c r="I3726" s="1"/>
  <c r="B3726"/>
  <c r="H3740" s="1"/>
  <c r="G3725"/>
  <c r="I3725" s="1"/>
  <c r="F3723"/>
  <c r="D3723" s="1"/>
  <c r="I3722"/>
  <c r="I3723" s="1"/>
  <c r="G3724" s="1"/>
  <c r="I3724" s="1"/>
  <c r="H3722"/>
  <c r="H3723" s="1"/>
  <c r="J3724" s="1"/>
  <c r="H3724" s="1"/>
  <c r="F3722"/>
  <c r="D3722" s="1"/>
  <c r="H3721"/>
  <c r="J3721" s="1"/>
  <c r="G3721"/>
  <c r="I3721" s="1"/>
  <c r="H3720"/>
  <c r="J3720" s="1"/>
  <c r="G3720"/>
  <c r="I3720" s="1"/>
  <c r="F3718"/>
  <c r="D3718" s="1"/>
  <c r="I3717"/>
  <c r="I3718" s="1"/>
  <c r="G3719" s="1"/>
  <c r="I3719" s="1"/>
  <c r="H3717"/>
  <c r="H3718" s="1"/>
  <c r="J3719" s="1"/>
  <c r="H3719" s="1"/>
  <c r="F3717"/>
  <c r="D3717" s="1"/>
  <c r="H3716"/>
  <c r="J3716" s="1"/>
  <c r="G3716"/>
  <c r="I3716" s="1"/>
  <c r="H3715"/>
  <c r="J3715" s="1"/>
  <c r="G3715"/>
  <c r="I3715" s="1"/>
  <c r="F3712"/>
  <c r="D3712" s="1"/>
  <c r="I3711"/>
  <c r="I3712" s="1"/>
  <c r="G3713" s="1"/>
  <c r="H3711"/>
  <c r="H3712" s="1"/>
  <c r="J3713" s="1"/>
  <c r="F3711"/>
  <c r="D3711" s="1"/>
  <c r="H3710"/>
  <c r="J3710" s="1"/>
  <c r="G3710"/>
  <c r="I3710" s="1"/>
  <c r="H3709"/>
  <c r="J3709" s="1"/>
  <c r="G3709"/>
  <c r="I3709" s="1"/>
  <c r="D4145"/>
  <c r="D4144"/>
  <c r="D4143"/>
  <c r="D4142"/>
  <c r="D4141"/>
  <c r="D4140"/>
  <c r="D4139"/>
  <c r="D4138"/>
  <c r="D4137"/>
  <c r="F4134"/>
  <c r="D4134" s="1"/>
  <c r="F4133"/>
  <c r="D4133" s="1"/>
  <c r="F4132"/>
  <c r="D4132" s="1"/>
  <c r="F4131"/>
  <c r="D4131" s="1"/>
  <c r="F4130"/>
  <c r="D4130" s="1"/>
  <c r="K4128"/>
  <c r="I4128"/>
  <c r="I4134" s="1"/>
  <c r="J4127"/>
  <c r="L4128" s="1"/>
  <c r="I4127"/>
  <c r="I4133" s="1"/>
  <c r="I4126"/>
  <c r="I4130" s="1"/>
  <c r="H4124"/>
  <c r="H4125" s="1"/>
  <c r="J4125" s="1"/>
  <c r="H4121" s="1"/>
  <c r="G4124"/>
  <c r="G4125" s="1"/>
  <c r="I4125" s="1"/>
  <c r="I4121" s="1"/>
  <c r="J4123"/>
  <c r="H4119" s="1"/>
  <c r="I4123"/>
  <c r="F4122"/>
  <c r="D4122" s="1"/>
  <c r="F4121"/>
  <c r="D4121" s="1"/>
  <c r="F4120"/>
  <c r="D4120" s="1"/>
  <c r="I4119"/>
  <c r="F4119"/>
  <c r="D4119" s="1"/>
  <c r="F4118"/>
  <c r="D4118" s="1"/>
  <c r="F4117"/>
  <c r="D4117" s="1"/>
  <c r="H4114"/>
  <c r="H4115" s="1"/>
  <c r="G4114"/>
  <c r="G4115" s="1"/>
  <c r="F4113"/>
  <c r="D4113" s="1"/>
  <c r="F4112"/>
  <c r="D4112" s="1"/>
  <c r="F4111"/>
  <c r="D4111" s="1"/>
  <c r="D4108"/>
  <c r="D4107"/>
  <c r="D4106"/>
  <c r="A4106"/>
  <c r="L4108" s="1"/>
  <c r="L4139" s="1"/>
  <c r="J4145" s="1"/>
  <c r="C4105"/>
  <c r="N4108" s="1"/>
  <c r="L4138" s="1"/>
  <c r="L4141" s="1"/>
  <c r="J4141" s="1"/>
  <c r="H4144" s="1"/>
  <c r="A4105"/>
  <c r="H4106" s="1"/>
  <c r="J4106" s="1"/>
  <c r="J4107" s="1"/>
  <c r="B4104"/>
  <c r="L4127" s="1"/>
  <c r="D4103"/>
  <c r="A4103"/>
  <c r="G4106" s="1"/>
  <c r="C4102"/>
  <c r="M4108" s="1"/>
  <c r="K4138" s="1"/>
  <c r="K4141" s="1"/>
  <c r="D4101"/>
  <c r="B4101"/>
  <c r="I4108" s="1"/>
  <c r="G4096"/>
  <c r="H4093"/>
  <c r="G4093" s="1"/>
  <c r="G4092"/>
  <c r="G4091"/>
  <c r="C4090"/>
  <c r="C4091" s="1"/>
  <c r="C4092" s="1"/>
  <c r="C4093" s="1"/>
  <c r="C4094" s="1"/>
  <c r="C4095" s="1"/>
  <c r="C4096" s="1"/>
  <c r="O4087"/>
  <c r="O4149"/>
  <c r="P4103" l="1"/>
  <c r="J4138" s="1"/>
  <c r="J4144" s="1"/>
  <c r="C4104"/>
  <c r="H4107" s="1"/>
  <c r="A4102"/>
  <c r="Q4101" s="1"/>
  <c r="L4101"/>
  <c r="J4101"/>
  <c r="N4103"/>
  <c r="H4138" s="1"/>
  <c r="H4141" s="1"/>
  <c r="H4131"/>
  <c r="O4101"/>
  <c r="H4101"/>
  <c r="P4101"/>
  <c r="R4101"/>
  <c r="G4160"/>
  <c r="AG4553"/>
  <c r="H4546" s="1"/>
  <c r="J4546" s="1"/>
  <c r="AH4552"/>
  <c r="B4103"/>
  <c r="K4106" s="1"/>
  <c r="I4106" s="1"/>
  <c r="I4107" s="1"/>
  <c r="G4103"/>
  <c r="I4139" s="1"/>
  <c r="G4142" s="1"/>
  <c r="I4142" s="1"/>
  <c r="G4145" s="1"/>
  <c r="Q4103"/>
  <c r="G4139" s="1"/>
  <c r="K4142" s="1"/>
  <c r="I4160"/>
  <c r="M4160"/>
  <c r="Q4160"/>
  <c r="U4160"/>
  <c r="Y4160"/>
  <c r="AC4160"/>
  <c r="J4163"/>
  <c r="N4163"/>
  <c r="R4163"/>
  <c r="V4163"/>
  <c r="Z4163"/>
  <c r="AD4163"/>
  <c r="K4108"/>
  <c r="K4139" s="1"/>
  <c r="I4145" s="1"/>
  <c r="J4126"/>
  <c r="J4128" s="1"/>
  <c r="H4134" s="1"/>
  <c r="K4160"/>
  <c r="O4160"/>
  <c r="S4160"/>
  <c r="W4160"/>
  <c r="AA4160"/>
  <c r="B4161"/>
  <c r="I4187" s="1"/>
  <c r="H4163"/>
  <c r="L4163"/>
  <c r="P4163"/>
  <c r="T4163"/>
  <c r="X4163"/>
  <c r="AB4163"/>
  <c r="C4164"/>
  <c r="H4190" s="1"/>
  <c r="G4522"/>
  <c r="M4488"/>
  <c r="O4488" s="1"/>
  <c r="I4385"/>
  <c r="I4371"/>
  <c r="I4378"/>
  <c r="I4353"/>
  <c r="K4167"/>
  <c r="K4184" s="1"/>
  <c r="M4167"/>
  <c r="M4184" s="1"/>
  <c r="O4167"/>
  <c r="O4184" s="1"/>
  <c r="Q4167"/>
  <c r="Q4184" s="1"/>
  <c r="S4167"/>
  <c r="S4184" s="1"/>
  <c r="U4167"/>
  <c r="U4184" s="1"/>
  <c r="W4167"/>
  <c r="W4184" s="1"/>
  <c r="Y4167"/>
  <c r="Y4184" s="1"/>
  <c r="AA4167"/>
  <c r="AA4184" s="1"/>
  <c r="AC4167"/>
  <c r="AC4184" s="1"/>
  <c r="AE4167"/>
  <c r="AE4184" s="1"/>
  <c r="I4176"/>
  <c r="H4160"/>
  <c r="J4160"/>
  <c r="L4160"/>
  <c r="N4160"/>
  <c r="P4160"/>
  <c r="R4160"/>
  <c r="T4160"/>
  <c r="V4160"/>
  <c r="X4160"/>
  <c r="Z4160"/>
  <c r="AB4160"/>
  <c r="AD4160"/>
  <c r="C4161"/>
  <c r="G4163"/>
  <c r="I4163"/>
  <c r="K4163"/>
  <c r="M4163"/>
  <c r="O4163"/>
  <c r="Q4163"/>
  <c r="S4163"/>
  <c r="U4163"/>
  <c r="W4163"/>
  <c r="Y4163"/>
  <c r="AA4163"/>
  <c r="AC4163"/>
  <c r="B4164"/>
  <c r="V4164"/>
  <c r="H4168"/>
  <c r="G4186"/>
  <c r="I4186"/>
  <c r="F4189"/>
  <c r="F4186"/>
  <c r="G4189"/>
  <c r="G3786"/>
  <c r="I3786" s="1"/>
  <c r="I3785"/>
  <c r="H3786"/>
  <c r="J3785"/>
  <c r="J3786" s="1"/>
  <c r="J3793"/>
  <c r="L3793"/>
  <c r="L3799" s="1"/>
  <c r="I3794"/>
  <c r="L3796"/>
  <c r="J3796" s="1"/>
  <c r="I3798"/>
  <c r="I3793"/>
  <c r="L3794"/>
  <c r="J3794" s="1"/>
  <c r="I3796"/>
  <c r="L3798"/>
  <c r="J3798" s="1"/>
  <c r="O3773"/>
  <c r="M3773"/>
  <c r="O3778"/>
  <c r="M3778"/>
  <c r="I3775"/>
  <c r="I3778"/>
  <c r="L3779"/>
  <c r="J3779" s="1"/>
  <c r="I3773"/>
  <c r="L3775"/>
  <c r="J3775" s="1"/>
  <c r="J3778"/>
  <c r="L3778" s="1"/>
  <c r="N3778" s="1"/>
  <c r="P3778" s="1"/>
  <c r="R3778" s="1"/>
  <c r="T3778" s="1"/>
  <c r="V3778" s="1"/>
  <c r="X3778" s="1"/>
  <c r="Z3778" s="1"/>
  <c r="AB3778" s="1"/>
  <c r="AD3778" s="1"/>
  <c r="AF3778" s="1"/>
  <c r="AH3778" s="1"/>
  <c r="AJ3778" s="1"/>
  <c r="AL3778" s="1"/>
  <c r="AN3778" s="1"/>
  <c r="I3779"/>
  <c r="J3749"/>
  <c r="H3748"/>
  <c r="H3749" s="1"/>
  <c r="G3749"/>
  <c r="I3749" s="1"/>
  <c r="I3748"/>
  <c r="I3756"/>
  <c r="W3756"/>
  <c r="K3756" s="1"/>
  <c r="L3757"/>
  <c r="J3757" s="1"/>
  <c r="I3759"/>
  <c r="W3759"/>
  <c r="K3759" s="1"/>
  <c r="L3760"/>
  <c r="J3760" s="1"/>
  <c r="Z3756"/>
  <c r="X3756" s="1"/>
  <c r="J3756" s="1"/>
  <c r="L3756" s="1"/>
  <c r="N3756" s="1"/>
  <c r="P3756" s="1"/>
  <c r="R3756" s="1"/>
  <c r="T3756" s="1"/>
  <c r="V3756" s="1"/>
  <c r="I3757"/>
  <c r="Z3759"/>
  <c r="X3759" s="1"/>
  <c r="J3759" s="1"/>
  <c r="L3759" s="1"/>
  <c r="N3759" s="1"/>
  <c r="P3759" s="1"/>
  <c r="R3759" s="1"/>
  <c r="T3759" s="1"/>
  <c r="V3759" s="1"/>
  <c r="I3760"/>
  <c r="H3714"/>
  <c r="H3713"/>
  <c r="J3714" s="1"/>
  <c r="G3730"/>
  <c r="I3730" s="1"/>
  <c r="I3729"/>
  <c r="G3714"/>
  <c r="I3714" s="1"/>
  <c r="I3713"/>
  <c r="N3740"/>
  <c r="L3740"/>
  <c r="J3740" s="1"/>
  <c r="J3742" s="1"/>
  <c r="L3742" s="1"/>
  <c r="H3742"/>
  <c r="H3725"/>
  <c r="J3725" s="1"/>
  <c r="H3727"/>
  <c r="H3728" s="1"/>
  <c r="J3729" s="1"/>
  <c r="L3732"/>
  <c r="J3732" s="1"/>
  <c r="I3733"/>
  <c r="L3734"/>
  <c r="J3734" s="1"/>
  <c r="I3735"/>
  <c r="L3737"/>
  <c r="J3737" s="1"/>
  <c r="I3738"/>
  <c r="L3739"/>
  <c r="J3739" s="1"/>
  <c r="I3740"/>
  <c r="I3742" s="1"/>
  <c r="K3742" s="1"/>
  <c r="K3740"/>
  <c r="M3740" s="1"/>
  <c r="H3726"/>
  <c r="J3726" s="1"/>
  <c r="I3732"/>
  <c r="L3733"/>
  <c r="J3733" s="1"/>
  <c r="I3734"/>
  <c r="H3735"/>
  <c r="I3737"/>
  <c r="L3738"/>
  <c r="J3738" s="1"/>
  <c r="I3739"/>
  <c r="K4137"/>
  <c r="G4140" s="1"/>
  <c r="I4140" s="1"/>
  <c r="G4143" s="1"/>
  <c r="O4108"/>
  <c r="H4116"/>
  <c r="J4116" s="1"/>
  <c r="H4113" s="1"/>
  <c r="J4115"/>
  <c r="H4112" s="1"/>
  <c r="G4116"/>
  <c r="I4116" s="1"/>
  <c r="I4113" s="1"/>
  <c r="I4115"/>
  <c r="I4112" s="1"/>
  <c r="C4101"/>
  <c r="G4101"/>
  <c r="K4101"/>
  <c r="H4103"/>
  <c r="J4139" s="1"/>
  <c r="H4142" s="1"/>
  <c r="J4103"/>
  <c r="H4137" s="1"/>
  <c r="J4143" s="1"/>
  <c r="L4103"/>
  <c r="J4137" s="1"/>
  <c r="L4140" s="1"/>
  <c r="J4140" s="1"/>
  <c r="H4143" s="1"/>
  <c r="R4103"/>
  <c r="H4139" s="1"/>
  <c r="L4142" s="1"/>
  <c r="J4142" s="1"/>
  <c r="H4145" s="1"/>
  <c r="B4106"/>
  <c r="J4108"/>
  <c r="J4114"/>
  <c r="H4111" s="1"/>
  <c r="J4124"/>
  <c r="H4120" s="1"/>
  <c r="I4103"/>
  <c r="G4137" s="1"/>
  <c r="I4143" s="1"/>
  <c r="K4103"/>
  <c r="I4137" s="1"/>
  <c r="K4140" s="1"/>
  <c r="M4103"/>
  <c r="G4138" s="1"/>
  <c r="G4141" s="1"/>
  <c r="I4141" s="1"/>
  <c r="G4144" s="1"/>
  <c r="O4103"/>
  <c r="I4138" s="1"/>
  <c r="I4144" s="1"/>
  <c r="I4114"/>
  <c r="I4111" s="1"/>
  <c r="I4124"/>
  <c r="I4120" s="1"/>
  <c r="K4127"/>
  <c r="I4131"/>
  <c r="I4132"/>
  <c r="AD4164" l="1"/>
  <c r="N4164"/>
  <c r="F4190"/>
  <c r="Z4164"/>
  <c r="R4164"/>
  <c r="J4164"/>
  <c r="C4165"/>
  <c r="AD4165" s="1"/>
  <c r="AB4164"/>
  <c r="X4164"/>
  <c r="T4164"/>
  <c r="P4164"/>
  <c r="L4164"/>
  <c r="H4164"/>
  <c r="S4161"/>
  <c r="K4168"/>
  <c r="K4185" s="1"/>
  <c r="AA4161"/>
  <c r="K4161"/>
  <c r="AA4171"/>
  <c r="AA4188" s="1"/>
  <c r="S4171"/>
  <c r="S4188" s="1"/>
  <c r="K4171"/>
  <c r="K4188" s="1"/>
  <c r="AE4168"/>
  <c r="AE4185" s="1"/>
  <c r="W4168"/>
  <c r="W4185" s="1"/>
  <c r="O4168"/>
  <c r="O4185" s="1"/>
  <c r="Y4171"/>
  <c r="Y4188" s="1"/>
  <c r="Q4171"/>
  <c r="Q4188" s="1"/>
  <c r="B4162"/>
  <c r="AA4162" s="1"/>
  <c r="W4161"/>
  <c r="O4161"/>
  <c r="G4161"/>
  <c r="Q4168"/>
  <c r="Q4185" s="1"/>
  <c r="M4101"/>
  <c r="G4187"/>
  <c r="B4165"/>
  <c r="G4191" s="1"/>
  <c r="AC4161"/>
  <c r="Y4161"/>
  <c r="U4161"/>
  <c r="Q4161"/>
  <c r="M4161"/>
  <c r="I4161"/>
  <c r="I4169"/>
  <c r="I4177" s="1"/>
  <c r="Y4168"/>
  <c r="Y4185" s="1"/>
  <c r="AI4552"/>
  <c r="AH4553"/>
  <c r="AC4168"/>
  <c r="AC4185" s="1"/>
  <c r="U4168"/>
  <c r="U4185" s="1"/>
  <c r="M4168"/>
  <c r="M4185" s="1"/>
  <c r="AC4171"/>
  <c r="AC4188" s="1"/>
  <c r="U4171"/>
  <c r="U4188" s="1"/>
  <c r="M4171"/>
  <c r="M4188" s="1"/>
  <c r="AE4171"/>
  <c r="AE4188" s="1"/>
  <c r="W4171"/>
  <c r="W4188" s="1"/>
  <c r="O4171"/>
  <c r="O4188" s="1"/>
  <c r="AA4168"/>
  <c r="AA4185" s="1"/>
  <c r="S4168"/>
  <c r="S4185" s="1"/>
  <c r="I4522"/>
  <c r="G4524"/>
  <c r="C4166"/>
  <c r="X4165"/>
  <c r="P4165"/>
  <c r="H4165"/>
  <c r="AC4165"/>
  <c r="U4165"/>
  <c r="M4165"/>
  <c r="H4176"/>
  <c r="H4169"/>
  <c r="AC4164"/>
  <c r="AA4164"/>
  <c r="Y4164"/>
  <c r="W4164"/>
  <c r="U4164"/>
  <c r="Y4172" s="1"/>
  <c r="Y4189" s="1"/>
  <c r="S4164"/>
  <c r="Q4164"/>
  <c r="O4164"/>
  <c r="M4164"/>
  <c r="K4164"/>
  <c r="I4164"/>
  <c r="G4164"/>
  <c r="I4190"/>
  <c r="G4190"/>
  <c r="C4162"/>
  <c r="AD4161"/>
  <c r="AB4161"/>
  <c r="Z4161"/>
  <c r="X4161"/>
  <c r="V4161"/>
  <c r="T4161"/>
  <c r="R4161"/>
  <c r="P4161"/>
  <c r="N4161"/>
  <c r="L4161"/>
  <c r="J4161"/>
  <c r="H4161"/>
  <c r="H4187"/>
  <c r="F4187"/>
  <c r="I3799"/>
  <c r="K3793"/>
  <c r="K3799" s="1"/>
  <c r="S3778"/>
  <c r="Q3778"/>
  <c r="S3773"/>
  <c r="Q3773"/>
  <c r="O3759"/>
  <c r="M3759"/>
  <c r="O3756"/>
  <c r="M3756"/>
  <c r="N3735"/>
  <c r="L3735"/>
  <c r="J3735" s="1"/>
  <c r="H3730"/>
  <c r="H3729"/>
  <c r="J3730" s="1"/>
  <c r="L4106"/>
  <c r="N4101"/>
  <c r="G4107"/>
  <c r="I4101"/>
  <c r="L4137"/>
  <c r="H4140" s="1"/>
  <c r="P4108"/>
  <c r="H4108"/>
  <c r="H4126" s="1"/>
  <c r="Q4172" l="1"/>
  <c r="Q4189" s="1"/>
  <c r="AC4162"/>
  <c r="AE4172"/>
  <c r="AE4189" s="1"/>
  <c r="O4172"/>
  <c r="O4189" s="1"/>
  <c r="K4169"/>
  <c r="K4186" s="1"/>
  <c r="U4172"/>
  <c r="U4189" s="1"/>
  <c r="O4169"/>
  <c r="O4186" s="1"/>
  <c r="W4172"/>
  <c r="W4189" s="1"/>
  <c r="M4172"/>
  <c r="M4189" s="1"/>
  <c r="AA4169"/>
  <c r="AA4186" s="1"/>
  <c r="AC4172"/>
  <c r="AC4189" s="1"/>
  <c r="I4165"/>
  <c r="Q4165"/>
  <c r="Y4165"/>
  <c r="I4191"/>
  <c r="F4191"/>
  <c r="L4165"/>
  <c r="T4165"/>
  <c r="AB4165"/>
  <c r="AC4169"/>
  <c r="AC4186" s="1"/>
  <c r="M4169"/>
  <c r="M4186" s="1"/>
  <c r="U4169"/>
  <c r="U4186" s="1"/>
  <c r="K4172"/>
  <c r="K4189" s="1"/>
  <c r="S4172"/>
  <c r="S4189" s="1"/>
  <c r="AA4172"/>
  <c r="AA4189" s="1"/>
  <c r="G4165"/>
  <c r="K4173" s="1"/>
  <c r="K4190" s="1"/>
  <c r="K4165"/>
  <c r="O4165"/>
  <c r="S4173" s="1"/>
  <c r="S4190" s="1"/>
  <c r="S4165"/>
  <c r="W4165"/>
  <c r="AA4173" s="1"/>
  <c r="AA4190" s="1"/>
  <c r="AA4165"/>
  <c r="H4191"/>
  <c r="J4165"/>
  <c r="N4165"/>
  <c r="Q4173" s="1"/>
  <c r="Q4190" s="1"/>
  <c r="R4165"/>
  <c r="V4165"/>
  <c r="Y4173" s="1"/>
  <c r="Y4190" s="1"/>
  <c r="Z4165"/>
  <c r="S4169"/>
  <c r="S4186" s="1"/>
  <c r="W4169"/>
  <c r="W4186" s="1"/>
  <c r="AE4169"/>
  <c r="AE4186" s="1"/>
  <c r="M4162"/>
  <c r="I4188"/>
  <c r="U4162"/>
  <c r="B4166"/>
  <c r="AA4166" s="1"/>
  <c r="I4162"/>
  <c r="Q4162"/>
  <c r="Y4162"/>
  <c r="Q4169"/>
  <c r="Q4186" s="1"/>
  <c r="Y4169"/>
  <c r="Y4186" s="1"/>
  <c r="I4170"/>
  <c r="I4178" s="1"/>
  <c r="G4188"/>
  <c r="G4162"/>
  <c r="K4162"/>
  <c r="O4162"/>
  <c r="S4162"/>
  <c r="W4162"/>
  <c r="AI4553"/>
  <c r="AJ4552"/>
  <c r="H4188"/>
  <c r="F4188"/>
  <c r="AD4162"/>
  <c r="AB4162"/>
  <c r="AE4170" s="1"/>
  <c r="AE4187" s="1"/>
  <c r="Z4162"/>
  <c r="X4162"/>
  <c r="V4162"/>
  <c r="T4162"/>
  <c r="R4162"/>
  <c r="P4162"/>
  <c r="N4162"/>
  <c r="L4162"/>
  <c r="J4162"/>
  <c r="H4162"/>
  <c r="H4192"/>
  <c r="F4192"/>
  <c r="AD4166"/>
  <c r="AB4166"/>
  <c r="Z4166"/>
  <c r="X4166"/>
  <c r="V4166"/>
  <c r="T4166"/>
  <c r="R4166"/>
  <c r="P4166"/>
  <c r="N4166"/>
  <c r="L4166"/>
  <c r="J4166"/>
  <c r="H4166"/>
  <c r="H4177"/>
  <c r="H4170"/>
  <c r="W3773"/>
  <c r="U3773"/>
  <c r="W3778"/>
  <c r="U3778"/>
  <c r="S3759"/>
  <c r="U3759" s="1"/>
  <c r="Q3759"/>
  <c r="S3756"/>
  <c r="U3756" s="1"/>
  <c r="Q3756"/>
  <c r="H4128"/>
  <c r="H4132" s="1"/>
  <c r="H4130"/>
  <c r="H4127"/>
  <c r="H4133" s="1"/>
  <c r="Q4166" l="1"/>
  <c r="U4174" s="1"/>
  <c r="U4191" s="1"/>
  <c r="I4171"/>
  <c r="I4179" s="1"/>
  <c r="AE4173"/>
  <c r="AE4190" s="1"/>
  <c r="U4173"/>
  <c r="U4190" s="1"/>
  <c r="O4173"/>
  <c r="O4190" s="1"/>
  <c r="U4170"/>
  <c r="U4187" s="1"/>
  <c r="AC4173"/>
  <c r="AC4190" s="1"/>
  <c r="M4173"/>
  <c r="M4190" s="1"/>
  <c r="W4173"/>
  <c r="W4190" s="1"/>
  <c r="O4170"/>
  <c r="O4187" s="1"/>
  <c r="W4170"/>
  <c r="W4187" s="1"/>
  <c r="I4166"/>
  <c r="M4174" s="1"/>
  <c r="M4191" s="1"/>
  <c r="Y4166"/>
  <c r="AC4174" s="1"/>
  <c r="AC4191" s="1"/>
  <c r="Q4170"/>
  <c r="Q4187" s="1"/>
  <c r="Y4170"/>
  <c r="Y4187" s="1"/>
  <c r="I4192"/>
  <c r="M4166"/>
  <c r="Q4174" s="1"/>
  <c r="Q4191" s="1"/>
  <c r="U4166"/>
  <c r="Y4174" s="1"/>
  <c r="Y4191" s="1"/>
  <c r="AC4166"/>
  <c r="M4170"/>
  <c r="M4187" s="1"/>
  <c r="AC4170"/>
  <c r="AC4187" s="1"/>
  <c r="G4192"/>
  <c r="G4166"/>
  <c r="K4174" s="1"/>
  <c r="K4191" s="1"/>
  <c r="K4166"/>
  <c r="O4174" s="1"/>
  <c r="O4191" s="1"/>
  <c r="O4166"/>
  <c r="S4174" s="1"/>
  <c r="S4191" s="1"/>
  <c r="S4166"/>
  <c r="W4174" s="1"/>
  <c r="W4191" s="1"/>
  <c r="W4166"/>
  <c r="AA4174" s="1"/>
  <c r="AA4191" s="1"/>
  <c r="K4170"/>
  <c r="K4187" s="1"/>
  <c r="S4170"/>
  <c r="S4187" s="1"/>
  <c r="AA4170"/>
  <c r="AA4187" s="1"/>
  <c r="AK4552"/>
  <c r="AJ4553"/>
  <c r="H4547" s="1"/>
  <c r="J4547" s="1"/>
  <c r="AE4174"/>
  <c r="AE4191" s="1"/>
  <c r="I4172"/>
  <c r="H4178"/>
  <c r="H4171"/>
  <c r="AA3778"/>
  <c r="Y3778"/>
  <c r="AA3773"/>
  <c r="Y3773"/>
  <c r="AK4553" l="1"/>
  <c r="AL4552"/>
  <c r="H4179"/>
  <c r="H4172"/>
  <c r="I4173"/>
  <c r="I4180"/>
  <c r="AE3778"/>
  <c r="AC3778"/>
  <c r="AE3773"/>
  <c r="AC3773"/>
  <c r="G4548" l="1"/>
  <c r="I4548" s="1"/>
  <c r="G4546"/>
  <c r="I4546" s="1"/>
  <c r="G4544"/>
  <c r="I4544" s="1"/>
  <c r="G4542"/>
  <c r="I4542" s="1"/>
  <c r="G4540"/>
  <c r="I4540" s="1"/>
  <c r="AL4553"/>
  <c r="H4548" s="1"/>
  <c r="J4548" s="1"/>
  <c r="G4545"/>
  <c r="I4545" s="1"/>
  <c r="G4543"/>
  <c r="I4543" s="1"/>
  <c r="G4541"/>
  <c r="I4541" s="1"/>
  <c r="G4539"/>
  <c r="I4539" s="1"/>
  <c r="G4547"/>
  <c r="I4547" s="1"/>
  <c r="P4552"/>
  <c r="I4181"/>
  <c r="I4174"/>
  <c r="I4182" s="1"/>
  <c r="H4180"/>
  <c r="H4173"/>
  <c r="AI3773"/>
  <c r="AG3773"/>
  <c r="AI3778"/>
  <c r="AG3778"/>
  <c r="H4181" l="1"/>
  <c r="H4174"/>
  <c r="H4182" s="1"/>
  <c r="AM3778"/>
  <c r="AO3778" s="1"/>
  <c r="AK3778"/>
  <c r="G3776"/>
  <c r="AM3773"/>
  <c r="AK3773"/>
  <c r="AQ3773" l="1"/>
  <c r="AO3773"/>
  <c r="I3776"/>
  <c r="K3776"/>
  <c r="F3778"/>
  <c r="D3778" s="1"/>
  <c r="O3776" l="1"/>
  <c r="Q3776" s="1"/>
  <c r="M3776"/>
  <c r="AU3773"/>
  <c r="AW3773" s="1"/>
  <c r="AS3773"/>
  <c r="F3776" l="1"/>
  <c r="D3776" s="1"/>
  <c r="F3773"/>
  <c r="D3773" s="1"/>
  <c r="D967" l="1"/>
  <c r="G966"/>
  <c r="I966" s="1"/>
  <c r="K966" s="1"/>
  <c r="M966" s="1"/>
  <c r="O966" s="1"/>
  <c r="Q966" s="1"/>
  <c r="S966" s="1"/>
  <c r="U966" s="1"/>
  <c r="W966" s="1"/>
  <c r="Y966" s="1"/>
  <c r="AA966" s="1"/>
  <c r="AC966" s="1"/>
  <c r="AE966" s="1"/>
  <c r="AG966" s="1"/>
  <c r="AI966" s="1"/>
  <c r="AK966" s="1"/>
  <c r="AM966" s="1"/>
  <c r="AO966" s="1"/>
  <c r="AQ966" s="1"/>
  <c r="AS966" s="1"/>
  <c r="AU966" s="1"/>
  <c r="D966"/>
  <c r="D965"/>
  <c r="H964"/>
  <c r="J964" s="1"/>
  <c r="L964" s="1"/>
  <c r="G964"/>
  <c r="I964" s="1"/>
  <c r="K964" s="1"/>
  <c r="D964"/>
  <c r="G962"/>
  <c r="G961"/>
  <c r="G967" s="1"/>
  <c r="I967" s="1"/>
  <c r="K967" s="1"/>
  <c r="M967" s="1"/>
  <c r="O967" s="1"/>
  <c r="Q967" s="1"/>
  <c r="S967" s="1"/>
  <c r="U967" s="1"/>
  <c r="W967" s="1"/>
  <c r="Y967" s="1"/>
  <c r="AA967" s="1"/>
  <c r="AC967" s="1"/>
  <c r="AE967" s="1"/>
  <c r="AG967" s="1"/>
  <c r="AI967" s="1"/>
  <c r="AK967" s="1"/>
  <c r="AM967" s="1"/>
  <c r="AO967" s="1"/>
  <c r="AQ967" s="1"/>
  <c r="AS967" s="1"/>
  <c r="AU967" s="1"/>
  <c r="AW967" s="1"/>
  <c r="AY967" s="1"/>
  <c r="BA967" s="1"/>
  <c r="BC967" s="1"/>
  <c r="BE967" s="1"/>
  <c r="BG967" s="1"/>
  <c r="BI967" s="1"/>
  <c r="BK967" s="1"/>
  <c r="BM967" s="1"/>
  <c r="BO967" s="1"/>
  <c r="BQ967" s="1"/>
  <c r="BS967" s="1"/>
  <c r="BU967" s="1"/>
  <c r="BW967" s="1"/>
  <c r="BY967" s="1"/>
  <c r="CA967" s="1"/>
  <c r="CC967" s="1"/>
  <c r="CE967" s="1"/>
  <c r="CG967" s="1"/>
  <c r="CI967" s="1"/>
  <c r="CK967" s="1"/>
  <c r="CM967" s="1"/>
  <c r="CO967" s="1"/>
  <c r="CQ967" s="1"/>
  <c r="CS967" s="1"/>
  <c r="CU967" s="1"/>
  <c r="CW967" s="1"/>
  <c r="CY967" s="1"/>
  <c r="DA967" s="1"/>
  <c r="DC967" s="1"/>
  <c r="D961"/>
  <c r="I960"/>
  <c r="K960" s="1"/>
  <c r="H960"/>
  <c r="H966" s="1"/>
  <c r="J966" s="1"/>
  <c r="L966" s="1"/>
  <c r="N966" s="1"/>
  <c r="P966" s="1"/>
  <c r="R966" s="1"/>
  <c r="T966" s="1"/>
  <c r="V966" s="1"/>
  <c r="X966" s="1"/>
  <c r="Z966" s="1"/>
  <c r="AB966" s="1"/>
  <c r="AD966" s="1"/>
  <c r="AF966" s="1"/>
  <c r="AH966" s="1"/>
  <c r="AJ966" s="1"/>
  <c r="AL966" s="1"/>
  <c r="AN966" s="1"/>
  <c r="AP966" s="1"/>
  <c r="AR966" s="1"/>
  <c r="AT966" s="1"/>
  <c r="AV966" s="1"/>
  <c r="D960"/>
  <c r="H959"/>
  <c r="H965" s="1"/>
  <c r="J965" s="1"/>
  <c r="L965" s="1"/>
  <c r="N965" s="1"/>
  <c r="P965" s="1"/>
  <c r="G959"/>
  <c r="G965" s="1"/>
  <c r="I965" s="1"/>
  <c r="K965" s="1"/>
  <c r="M965" s="1"/>
  <c r="O965" s="1"/>
  <c r="D959"/>
  <c r="L958"/>
  <c r="J958"/>
  <c r="J959" s="1"/>
  <c r="I958"/>
  <c r="K958" s="1"/>
  <c r="D958"/>
  <c r="G956"/>
  <c r="F953"/>
  <c r="D953" s="1"/>
  <c r="H951"/>
  <c r="H952" s="1"/>
  <c r="J952" s="1"/>
  <c r="G951"/>
  <c r="H950"/>
  <c r="F950"/>
  <c r="D950" s="1"/>
  <c r="H949"/>
  <c r="J949" s="1"/>
  <c r="G949"/>
  <c r="G952" s="1"/>
  <c r="I952" s="1"/>
  <c r="J948"/>
  <c r="I948"/>
  <c r="I951" s="1"/>
  <c r="I953" s="1"/>
  <c r="H947"/>
  <c r="F947"/>
  <c r="D947" s="1"/>
  <c r="H946"/>
  <c r="H945"/>
  <c r="J945" s="1"/>
  <c r="J944"/>
  <c r="G944"/>
  <c r="G946" s="1"/>
  <c r="H943"/>
  <c r="F943"/>
  <c r="D943" s="1"/>
  <c r="I942"/>
  <c r="H942"/>
  <c r="J942" s="1"/>
  <c r="J946" s="1"/>
  <c r="K942" s="1"/>
  <c r="K946" s="1"/>
  <c r="G942"/>
  <c r="H941"/>
  <c r="J941" s="1"/>
  <c r="G941"/>
  <c r="G945" s="1"/>
  <c r="I945" s="1"/>
  <c r="J940"/>
  <c r="I940"/>
  <c r="I944" s="1"/>
  <c r="I947" s="1"/>
  <c r="O932"/>
  <c r="I946" l="1"/>
  <c r="I950"/>
  <c r="I949"/>
  <c r="H953"/>
  <c r="L959"/>
  <c r="J960"/>
  <c r="J961" s="1"/>
  <c r="L960"/>
  <c r="I961"/>
  <c r="K961" s="1"/>
  <c r="I941"/>
  <c r="I943"/>
  <c r="J951"/>
  <c r="I959"/>
  <c r="K959" s="1"/>
  <c r="H961"/>
  <c r="L961" l="1"/>
  <c r="H967"/>
  <c r="J967" s="1"/>
  <c r="L967" s="1"/>
  <c r="N967" s="1"/>
  <c r="P967" s="1"/>
  <c r="R967" s="1"/>
  <c r="T967" s="1"/>
  <c r="V967" s="1"/>
  <c r="X967" s="1"/>
  <c r="Z967" s="1"/>
  <c r="AB967" s="1"/>
  <c r="AD967" s="1"/>
  <c r="AF967" s="1"/>
  <c r="AH967" s="1"/>
  <c r="AJ967" s="1"/>
  <c r="AL967" s="1"/>
  <c r="AN967" s="1"/>
  <c r="AP967" s="1"/>
  <c r="AR967" s="1"/>
  <c r="AT967" s="1"/>
  <c r="AV967" s="1"/>
  <c r="AX967" s="1"/>
  <c r="AZ967" s="1"/>
  <c r="BB967" s="1"/>
  <c r="BD967" s="1"/>
  <c r="BF967" s="1"/>
  <c r="BH967" s="1"/>
  <c r="BJ967" s="1"/>
  <c r="BL967" s="1"/>
  <c r="BN967" s="1"/>
  <c r="BP967" s="1"/>
  <c r="BR967" s="1"/>
  <c r="BT967" s="1"/>
  <c r="BV967" s="1"/>
  <c r="BX967" s="1"/>
  <c r="BZ967" s="1"/>
  <c r="CB967" s="1"/>
  <c r="CD967" s="1"/>
  <c r="CF967" s="1"/>
  <c r="CH967" s="1"/>
  <c r="CJ967" s="1"/>
  <c r="CL967" s="1"/>
  <c r="CN967" s="1"/>
  <c r="CP967" s="1"/>
  <c r="CR967" s="1"/>
  <c r="CT967" s="1"/>
  <c r="CV967" s="1"/>
  <c r="CX967" s="1"/>
  <c r="CZ967" s="1"/>
  <c r="DB967" s="1"/>
  <c r="DD967" s="1"/>
  <c r="F742"/>
  <c r="D742" s="1"/>
  <c r="G386"/>
  <c r="H385"/>
  <c r="G341"/>
  <c r="I340"/>
  <c r="J340" s="1"/>
  <c r="I339"/>
  <c r="J339" s="1"/>
  <c r="I338"/>
  <c r="J338" s="1"/>
  <c r="H335"/>
  <c r="H337" s="1"/>
  <c r="J337" s="1"/>
  <c r="H334"/>
  <c r="H336" s="1"/>
  <c r="J336" s="1"/>
  <c r="J333"/>
  <c r="I333"/>
  <c r="I334" s="1"/>
  <c r="I335" s="1"/>
  <c r="I336" s="1"/>
  <c r="I337" s="1"/>
  <c r="G333"/>
  <c r="G334" s="1"/>
  <c r="G335" s="1"/>
  <c r="G336" s="1"/>
  <c r="G337" s="1"/>
  <c r="J332"/>
  <c r="H331"/>
  <c r="I331" s="1"/>
  <c r="J331" s="1"/>
  <c r="G331"/>
  <c r="H330"/>
  <c r="I330" s="1"/>
  <c r="J330" s="1"/>
  <c r="G328"/>
  <c r="G329" s="1"/>
  <c r="F328"/>
  <c r="F329" s="1"/>
  <c r="H329" s="1"/>
  <c r="I327"/>
  <c r="I328" s="1"/>
  <c r="I329" s="1"/>
  <c r="H327"/>
  <c r="I326"/>
  <c r="J325"/>
  <c r="I324"/>
  <c r="J323"/>
  <c r="I322"/>
  <c r="G330" s="1"/>
  <c r="J321"/>
  <c r="O313"/>
  <c r="H328" l="1"/>
  <c r="J334"/>
  <c r="J335"/>
  <c r="B254" l="1"/>
  <c r="H253"/>
  <c r="F253"/>
  <c r="D253" s="1"/>
  <c r="I252"/>
  <c r="F252"/>
  <c r="D252" s="1"/>
  <c r="J251"/>
  <c r="H251"/>
  <c r="I250"/>
  <c r="G250"/>
  <c r="C250"/>
  <c r="H254" s="1"/>
  <c r="I254" s="1"/>
  <c r="J254" s="1"/>
  <c r="H249"/>
  <c r="F249"/>
  <c r="D249" s="1"/>
  <c r="C249"/>
  <c r="G254" s="1"/>
  <c r="I248"/>
  <c r="F248"/>
  <c r="D248" s="1"/>
  <c r="H247"/>
  <c r="G247"/>
  <c r="I247" s="1"/>
  <c r="H246"/>
  <c r="J246" s="1"/>
  <c r="G246"/>
  <c r="B245"/>
  <c r="H244"/>
  <c r="F244"/>
  <c r="D244" s="1"/>
  <c r="I243"/>
  <c r="F243"/>
  <c r="D243" s="1"/>
  <c r="J242"/>
  <c r="H242"/>
  <c r="I241"/>
  <c r="G241"/>
  <c r="C241"/>
  <c r="H245" s="1"/>
  <c r="I245" s="1"/>
  <c r="H240"/>
  <c r="F240"/>
  <c r="D240" s="1"/>
  <c r="C240"/>
  <c r="G245" s="1"/>
  <c r="I239"/>
  <c r="F239"/>
  <c r="D239" s="1"/>
  <c r="H238"/>
  <c r="G238"/>
  <c r="I238" s="1"/>
  <c r="H237"/>
  <c r="J237" s="1"/>
  <c r="G237"/>
  <c r="G231"/>
  <c r="O225"/>
  <c r="J238" l="1"/>
  <c r="I237"/>
  <c r="J247"/>
  <c r="H248"/>
  <c r="I246"/>
  <c r="H241"/>
  <c r="J241" s="1"/>
  <c r="H239"/>
  <c r="I240"/>
  <c r="G242"/>
  <c r="I242" s="1"/>
  <c r="I244"/>
  <c r="H250"/>
  <c r="J250" s="1"/>
  <c r="I249"/>
  <c r="G251"/>
  <c r="I251" s="1"/>
  <c r="I253"/>
  <c r="F741" l="1"/>
  <c r="D741" s="1"/>
  <c r="J4071" l="1"/>
  <c r="K4071" s="1"/>
  <c r="L4071" s="1"/>
  <c r="F4070"/>
  <c r="D4070" s="1"/>
  <c r="I4069"/>
  <c r="I4068"/>
  <c r="I4067"/>
  <c r="I4066"/>
  <c r="F4065"/>
  <c r="D4065" s="1"/>
  <c r="F4062"/>
  <c r="D4062" s="1"/>
  <c r="F4061"/>
  <c r="D4061" s="1"/>
  <c r="F4060"/>
  <c r="D4060" s="1"/>
  <c r="D4059"/>
  <c r="D4058"/>
  <c r="D4057"/>
  <c r="D4056"/>
  <c r="D4055"/>
  <c r="C4052"/>
  <c r="C4054" s="1"/>
  <c r="B4052"/>
  <c r="K4055" s="1"/>
  <c r="H4051"/>
  <c r="H4052" s="1"/>
  <c r="G4051"/>
  <c r="G4052" s="1"/>
  <c r="D4049"/>
  <c r="L4048"/>
  <c r="L4049" s="1"/>
  <c r="K4048"/>
  <c r="K4049" s="1"/>
  <c r="J4048"/>
  <c r="J4049" s="1"/>
  <c r="I4048"/>
  <c r="I4049" s="1"/>
  <c r="H4048"/>
  <c r="H4049" s="1"/>
  <c r="G4048"/>
  <c r="G4049" s="1"/>
  <c r="D4048"/>
  <c r="D4045"/>
  <c r="D4044"/>
  <c r="D4043"/>
  <c r="D4042"/>
  <c r="D4041"/>
  <c r="D4040"/>
  <c r="D4039"/>
  <c r="D4038"/>
  <c r="D4037"/>
  <c r="D4036"/>
  <c r="L4034"/>
  <c r="K4034"/>
  <c r="J4034"/>
  <c r="I4034"/>
  <c r="H4034"/>
  <c r="G4034"/>
  <c r="D4034"/>
  <c r="D4031"/>
  <c r="L4029"/>
  <c r="K4029"/>
  <c r="J4029"/>
  <c r="I4029"/>
  <c r="G4043" s="1"/>
  <c r="I4043" s="1"/>
  <c r="I4044" s="1"/>
  <c r="H4029"/>
  <c r="L4043" s="1"/>
  <c r="J4043" s="1"/>
  <c r="J4044" s="1"/>
  <c r="G4029"/>
  <c r="D4029"/>
  <c r="D4028"/>
  <c r="D4027"/>
  <c r="D4026"/>
  <c r="A4025"/>
  <c r="B4025" s="1"/>
  <c r="D4024"/>
  <c r="C4024"/>
  <c r="H4073" s="1"/>
  <c r="D4023"/>
  <c r="B4023"/>
  <c r="N4031" s="1"/>
  <c r="N4028" s="1"/>
  <c r="D4022"/>
  <c r="A4022"/>
  <c r="G4031" s="1"/>
  <c r="G4028" s="1"/>
  <c r="G4042" s="1"/>
  <c r="G4044" s="1"/>
  <c r="D4021"/>
  <c r="C4021"/>
  <c r="K4031" s="1"/>
  <c r="K4028" s="1"/>
  <c r="D4020"/>
  <c r="B4020"/>
  <c r="M4031" s="1"/>
  <c r="M4028" s="1"/>
  <c r="G4041" s="1"/>
  <c r="I4041" s="1"/>
  <c r="I4042" s="1"/>
  <c r="G4014"/>
  <c r="G4013"/>
  <c r="H4010"/>
  <c r="H4011" s="1"/>
  <c r="G4011" s="1"/>
  <c r="G4009"/>
  <c r="G4008"/>
  <c r="G4007"/>
  <c r="C4007"/>
  <c r="C4008" s="1"/>
  <c r="C4009" s="1"/>
  <c r="C4010" s="1"/>
  <c r="C4011" s="1"/>
  <c r="C4012" s="1"/>
  <c r="C4013" s="1"/>
  <c r="O4004"/>
  <c r="C4020" l="1"/>
  <c r="I4020" s="1"/>
  <c r="I4026" s="1"/>
  <c r="O4020"/>
  <c r="O4026" s="1"/>
  <c r="O4027" s="1"/>
  <c r="G4040" s="1"/>
  <c r="P4020"/>
  <c r="P4026" s="1"/>
  <c r="P4027" s="1"/>
  <c r="H4040" s="1"/>
  <c r="K4020"/>
  <c r="K4026" s="1"/>
  <c r="K4027" s="1"/>
  <c r="H4020"/>
  <c r="H4026" s="1"/>
  <c r="H4027" s="1"/>
  <c r="L4020"/>
  <c r="L4026" s="1"/>
  <c r="L4027" s="1"/>
  <c r="L4039" s="1"/>
  <c r="J4039" s="1"/>
  <c r="J4040" s="1"/>
  <c r="C4023"/>
  <c r="J4020" s="1"/>
  <c r="J4026" s="1"/>
  <c r="H4036" s="1"/>
  <c r="J4036" s="1"/>
  <c r="L4036" s="1"/>
  <c r="G4010"/>
  <c r="J4055"/>
  <c r="J4056" s="1"/>
  <c r="H4056" s="1"/>
  <c r="A4024"/>
  <c r="A4021"/>
  <c r="H4055"/>
  <c r="L4055"/>
  <c r="I4021"/>
  <c r="I4022" s="1"/>
  <c r="I4023" s="1"/>
  <c r="I4024" s="1"/>
  <c r="H4053"/>
  <c r="J4053" s="1"/>
  <c r="H4062" s="1"/>
  <c r="J4052"/>
  <c r="H4061" s="1"/>
  <c r="H4065" s="1"/>
  <c r="F4064" s="1"/>
  <c r="H4064" s="1"/>
  <c r="L4057"/>
  <c r="J4057"/>
  <c r="J4058" s="1"/>
  <c r="H4058" s="1"/>
  <c r="H4057"/>
  <c r="J4027"/>
  <c r="N4020"/>
  <c r="J4031"/>
  <c r="G4053"/>
  <c r="I4053" s="1"/>
  <c r="I4062" s="1"/>
  <c r="I4052"/>
  <c r="I4061" s="1"/>
  <c r="I4065" s="1"/>
  <c r="G4064" s="1"/>
  <c r="I4064" s="1"/>
  <c r="G4020"/>
  <c r="H4021"/>
  <c r="P4021"/>
  <c r="B4022"/>
  <c r="H4031"/>
  <c r="H4028" s="1"/>
  <c r="H4042" s="1"/>
  <c r="H4044" s="1"/>
  <c r="L4031"/>
  <c r="L4028" s="1"/>
  <c r="L4041" s="1"/>
  <c r="J4041" s="1"/>
  <c r="J4042" s="1"/>
  <c r="I4051"/>
  <c r="I4060" s="1"/>
  <c r="B4054"/>
  <c r="G4073"/>
  <c r="I4073" s="1"/>
  <c r="J4073" s="1"/>
  <c r="K4073" s="1"/>
  <c r="K4021"/>
  <c r="O4021"/>
  <c r="J4051"/>
  <c r="H4060" s="1"/>
  <c r="G4055"/>
  <c r="I4055"/>
  <c r="I4056" s="1"/>
  <c r="G4056" s="1"/>
  <c r="J4021" l="1"/>
  <c r="J4022" s="1"/>
  <c r="J4023" s="1"/>
  <c r="J4024" s="1"/>
  <c r="L4021"/>
  <c r="L4037" s="1"/>
  <c r="J4037" s="1"/>
  <c r="J4038" s="1"/>
  <c r="P4031"/>
  <c r="R4020"/>
  <c r="O4031"/>
  <c r="Q4020"/>
  <c r="K4037"/>
  <c r="K4039" s="1"/>
  <c r="K4041" s="1"/>
  <c r="K4043" s="1"/>
  <c r="K4022"/>
  <c r="K4023" s="1"/>
  <c r="K4024" s="1"/>
  <c r="K4057"/>
  <c r="I4057"/>
  <c r="I4058" s="1"/>
  <c r="G4058" s="1"/>
  <c r="G4057"/>
  <c r="I4031"/>
  <c r="M4020"/>
  <c r="G4038"/>
  <c r="I4054"/>
  <c r="I4070" s="1"/>
  <c r="O4022"/>
  <c r="O4023" s="1"/>
  <c r="O4024" s="1"/>
  <c r="H4037"/>
  <c r="H4039" s="1"/>
  <c r="H4041" s="1"/>
  <c r="H4043" s="1"/>
  <c r="H4022"/>
  <c r="H4023" s="1"/>
  <c r="H4024" s="1"/>
  <c r="H4045"/>
  <c r="J4028"/>
  <c r="H4059" s="1"/>
  <c r="G4036"/>
  <c r="I4036" s="1"/>
  <c r="K4036" s="1"/>
  <c r="I4027"/>
  <c r="P4022"/>
  <c r="P4023" s="1"/>
  <c r="P4024" s="1"/>
  <c r="H4038"/>
  <c r="G4026"/>
  <c r="G4027" s="1"/>
  <c r="G4039" s="1"/>
  <c r="I4039" s="1"/>
  <c r="I4040" s="1"/>
  <c r="G4021"/>
  <c r="N4026"/>
  <c r="N4027" s="1"/>
  <c r="N4021"/>
  <c r="L4022" l="1"/>
  <c r="L4023" s="1"/>
  <c r="L4024" s="1"/>
  <c r="J4045"/>
  <c r="P4028"/>
  <c r="J4059" s="1"/>
  <c r="R4026"/>
  <c r="R4027" s="1"/>
  <c r="R4021"/>
  <c r="R4022" s="1"/>
  <c r="R4023" s="1"/>
  <c r="R4024" s="1"/>
  <c r="O4028"/>
  <c r="I4059" s="1"/>
  <c r="I4045"/>
  <c r="Q4026"/>
  <c r="Q4027" s="1"/>
  <c r="Q4021"/>
  <c r="Q4022" s="1"/>
  <c r="Q4023" s="1"/>
  <c r="Q4024" s="1"/>
  <c r="M4026"/>
  <c r="M4027" s="1"/>
  <c r="M4021"/>
  <c r="H4054"/>
  <c r="N4022"/>
  <c r="N4023" s="1"/>
  <c r="N4024" s="1"/>
  <c r="G4037"/>
  <c r="I4037" s="1"/>
  <c r="I4038" s="1"/>
  <c r="G4022"/>
  <c r="G4023" s="1"/>
  <c r="G4024" s="1"/>
  <c r="I4028"/>
  <c r="G4059" s="1"/>
  <c r="G4045"/>
  <c r="F4000"/>
  <c r="D4000" s="1"/>
  <c r="I3998"/>
  <c r="J3998" s="1"/>
  <c r="F3999"/>
  <c r="D3999" s="1"/>
  <c r="F3997"/>
  <c r="D3997" s="1"/>
  <c r="H3981"/>
  <c r="H3982" s="1"/>
  <c r="G3981"/>
  <c r="G3982" s="1"/>
  <c r="D3979"/>
  <c r="D3978"/>
  <c r="L3977"/>
  <c r="K3977"/>
  <c r="J3977"/>
  <c r="I3977"/>
  <c r="H3977"/>
  <c r="G3977"/>
  <c r="D3977"/>
  <c r="D3974"/>
  <c r="D3973"/>
  <c r="D3972"/>
  <c r="D3971"/>
  <c r="D3970"/>
  <c r="B3970"/>
  <c r="L3978" s="1"/>
  <c r="D3969"/>
  <c r="D3967"/>
  <c r="B3967"/>
  <c r="G3987" s="1"/>
  <c r="D3965"/>
  <c r="A3965"/>
  <c r="B3965" s="1"/>
  <c r="L3964"/>
  <c r="K3964"/>
  <c r="J3964"/>
  <c r="I3964"/>
  <c r="H3964"/>
  <c r="G3964"/>
  <c r="D3964"/>
  <c r="C3964"/>
  <c r="C3963" s="1"/>
  <c r="D3963"/>
  <c r="B3963"/>
  <c r="H3960" s="1"/>
  <c r="A3962"/>
  <c r="B3962" s="1"/>
  <c r="D3961"/>
  <c r="C3961"/>
  <c r="K3960" s="1"/>
  <c r="D3960"/>
  <c r="B3960"/>
  <c r="G3960" s="1"/>
  <c r="F3954"/>
  <c r="D3954" s="1"/>
  <c r="F3953"/>
  <c r="D3953" s="1"/>
  <c r="F3952"/>
  <c r="D3952" s="1"/>
  <c r="F3951"/>
  <c r="D3951" s="1"/>
  <c r="F3950"/>
  <c r="D3950" s="1"/>
  <c r="F3949"/>
  <c r="D3949" s="1"/>
  <c r="F3948"/>
  <c r="D3948" s="1"/>
  <c r="F3947"/>
  <c r="D3947" s="1"/>
  <c r="F3946"/>
  <c r="D3946" s="1"/>
  <c r="F3945"/>
  <c r="D3945" s="1"/>
  <c r="H3929"/>
  <c r="H3930" s="1"/>
  <c r="G3929"/>
  <c r="G3930" s="1"/>
  <c r="D3927"/>
  <c r="D3926"/>
  <c r="L3925"/>
  <c r="K3925"/>
  <c r="J3925"/>
  <c r="I3925"/>
  <c r="H3925"/>
  <c r="G3925"/>
  <c r="D3925"/>
  <c r="D3922"/>
  <c r="D3921"/>
  <c r="D3920"/>
  <c r="D3919"/>
  <c r="D3918"/>
  <c r="D3917"/>
  <c r="D3915"/>
  <c r="D3914"/>
  <c r="L3913"/>
  <c r="K3913"/>
  <c r="J3913"/>
  <c r="I3913"/>
  <c r="H3913"/>
  <c r="G3913"/>
  <c r="D3913"/>
  <c r="B3912"/>
  <c r="L3926" s="1"/>
  <c r="D3911"/>
  <c r="D3909"/>
  <c r="B3909"/>
  <c r="G3935" s="1"/>
  <c r="D3908"/>
  <c r="D3907"/>
  <c r="A3907"/>
  <c r="H3909" s="1"/>
  <c r="C3906"/>
  <c r="C3905" s="1"/>
  <c r="J3902" s="1"/>
  <c r="J3905" s="1"/>
  <c r="H3917" s="1"/>
  <c r="J3917" s="1"/>
  <c r="L3917" s="1"/>
  <c r="D3905"/>
  <c r="B3905"/>
  <c r="N3909" s="1"/>
  <c r="D3904"/>
  <c r="A3904"/>
  <c r="G3909" s="1"/>
  <c r="C3903"/>
  <c r="K3909" s="1"/>
  <c r="D3902"/>
  <c r="B3902"/>
  <c r="M3909" s="1"/>
  <c r="G3897"/>
  <c r="G3896"/>
  <c r="H3893"/>
  <c r="H3894" s="1"/>
  <c r="G3894" s="1"/>
  <c r="G3892"/>
  <c r="G3891"/>
  <c r="G3890"/>
  <c r="C3890"/>
  <c r="C3891" s="1"/>
  <c r="C3892" s="1"/>
  <c r="C3893" s="1"/>
  <c r="C3894" s="1"/>
  <c r="C3895" s="1"/>
  <c r="C3896" s="1"/>
  <c r="O3887"/>
  <c r="B3969" l="1"/>
  <c r="A3906"/>
  <c r="P3909" s="1"/>
  <c r="J3922" s="1"/>
  <c r="B3911"/>
  <c r="P3902"/>
  <c r="P3905" s="1"/>
  <c r="O3902"/>
  <c r="O3905" s="1"/>
  <c r="R3902"/>
  <c r="R3905" s="1"/>
  <c r="A3903"/>
  <c r="L3902"/>
  <c r="L3905" s="1"/>
  <c r="P3960"/>
  <c r="C3970"/>
  <c r="L3961" s="1"/>
  <c r="A3971"/>
  <c r="P3961" s="1"/>
  <c r="H3902"/>
  <c r="H3905" s="1"/>
  <c r="B3908"/>
  <c r="L3960"/>
  <c r="B3904"/>
  <c r="I3909" s="1"/>
  <c r="G3922" s="1"/>
  <c r="J3914"/>
  <c r="C3912"/>
  <c r="L3908" s="1"/>
  <c r="B3907"/>
  <c r="H3914"/>
  <c r="L3914"/>
  <c r="H4070"/>
  <c r="J4054"/>
  <c r="G4054"/>
  <c r="M4022"/>
  <c r="M4023" s="1"/>
  <c r="M4024" s="1"/>
  <c r="H3970"/>
  <c r="J3960"/>
  <c r="L3969"/>
  <c r="N3960"/>
  <c r="G3988"/>
  <c r="I3987"/>
  <c r="I3984" s="1"/>
  <c r="H3983"/>
  <c r="J3983" s="1"/>
  <c r="H3986" s="1"/>
  <c r="J3982"/>
  <c r="H3985" s="1"/>
  <c r="H4001" s="1"/>
  <c r="M3960"/>
  <c r="K3969"/>
  <c r="I3969" s="1"/>
  <c r="I3970" s="1"/>
  <c r="G3983"/>
  <c r="I3983" s="1"/>
  <c r="G3986" s="1"/>
  <c r="I3982"/>
  <c r="G3985" s="1"/>
  <c r="G3969"/>
  <c r="B3976"/>
  <c r="G3978"/>
  <c r="I3978"/>
  <c r="K3978"/>
  <c r="J3981"/>
  <c r="H3984" s="1"/>
  <c r="H3987"/>
  <c r="C3960"/>
  <c r="O3960"/>
  <c r="A3961"/>
  <c r="Q3960" s="1"/>
  <c r="A3964"/>
  <c r="B3966"/>
  <c r="C3967"/>
  <c r="A3968"/>
  <c r="B3973"/>
  <c r="H3978"/>
  <c r="J3978"/>
  <c r="I3981"/>
  <c r="G3984" s="1"/>
  <c r="G3936"/>
  <c r="I3935"/>
  <c r="I3932" s="1"/>
  <c r="H3931"/>
  <c r="J3931" s="1"/>
  <c r="H3934" s="1"/>
  <c r="J3930"/>
  <c r="H3933" s="1"/>
  <c r="G3931"/>
  <c r="I3931" s="1"/>
  <c r="G3934" s="1"/>
  <c r="I3930"/>
  <c r="G3933" s="1"/>
  <c r="K3933" s="1"/>
  <c r="G3942" s="1"/>
  <c r="I3942" s="1"/>
  <c r="L3909"/>
  <c r="B3915"/>
  <c r="G3926"/>
  <c r="I3926"/>
  <c r="K3926"/>
  <c r="J3929"/>
  <c r="H3932" s="1"/>
  <c r="H3935"/>
  <c r="G3893"/>
  <c r="C3902"/>
  <c r="I3902" s="1"/>
  <c r="I3905" s="1"/>
  <c r="G3917" s="1"/>
  <c r="I3917" s="1"/>
  <c r="K3917" s="1"/>
  <c r="G3902"/>
  <c r="G3905" s="1"/>
  <c r="K3902"/>
  <c r="K3905" s="1"/>
  <c r="C3909"/>
  <c r="A3910"/>
  <c r="A3913"/>
  <c r="G3914"/>
  <c r="I3914"/>
  <c r="K3914"/>
  <c r="B3918"/>
  <c r="H3926"/>
  <c r="J3926"/>
  <c r="I3929"/>
  <c r="G3932" s="1"/>
  <c r="G1646"/>
  <c r="G1647" s="1"/>
  <c r="G1648" s="1"/>
  <c r="F1645"/>
  <c r="D1645" s="1"/>
  <c r="G1644"/>
  <c r="I1644" s="1"/>
  <c r="F1644"/>
  <c r="H1644" s="1"/>
  <c r="G1643"/>
  <c r="I1643" s="1"/>
  <c r="F1643"/>
  <c r="H1643" s="1"/>
  <c r="G1642"/>
  <c r="I1642" s="1"/>
  <c r="F1642"/>
  <c r="H1642" s="1"/>
  <c r="G1641"/>
  <c r="I1641" s="1"/>
  <c r="F1641"/>
  <c r="H1641" s="1"/>
  <c r="G1640"/>
  <c r="I1640" s="1"/>
  <c r="F1640"/>
  <c r="H1640" s="1"/>
  <c r="G1639"/>
  <c r="I1639" s="1"/>
  <c r="F1639"/>
  <c r="H1639" s="1"/>
  <c r="G1638"/>
  <c r="I1638" s="1"/>
  <c r="F1638"/>
  <c r="H1638" s="1"/>
  <c r="I1635"/>
  <c r="D1631"/>
  <c r="D1630"/>
  <c r="D1629"/>
  <c r="D1628"/>
  <c r="F1626"/>
  <c r="D1626" s="1"/>
  <c r="F1625"/>
  <c r="D1625" s="1"/>
  <c r="F1624"/>
  <c r="D1624" s="1"/>
  <c r="F1623"/>
  <c r="D1623" s="1"/>
  <c r="F1622"/>
  <c r="D1622" s="1"/>
  <c r="F1621"/>
  <c r="D1621" s="1"/>
  <c r="M1620"/>
  <c r="F1620"/>
  <c r="D1620" s="1"/>
  <c r="F1619"/>
  <c r="D1619" s="1"/>
  <c r="F1618"/>
  <c r="D1618" s="1"/>
  <c r="F1617"/>
  <c r="D1617" s="1"/>
  <c r="F1616"/>
  <c r="D1616" s="1"/>
  <c r="F1614"/>
  <c r="D1614" s="1"/>
  <c r="F1613"/>
  <c r="D1613" s="1"/>
  <c r="F1612"/>
  <c r="D1612" s="1"/>
  <c r="F1611"/>
  <c r="D1611" s="1"/>
  <c r="F1610"/>
  <c r="D1610" s="1"/>
  <c r="H1608"/>
  <c r="G1608"/>
  <c r="D1608"/>
  <c r="D1605"/>
  <c r="F1603"/>
  <c r="D1603" s="1"/>
  <c r="F1602"/>
  <c r="D1602" s="1"/>
  <c r="F1601"/>
  <c r="D1601" s="1"/>
  <c r="F1600"/>
  <c r="D1600" s="1"/>
  <c r="F1599"/>
  <c r="D1599" s="1"/>
  <c r="J1598"/>
  <c r="K1598" s="1"/>
  <c r="L1598" s="1"/>
  <c r="F1597"/>
  <c r="D1597" s="1"/>
  <c r="F1596"/>
  <c r="D1596" s="1"/>
  <c r="F1595"/>
  <c r="D1595" s="1"/>
  <c r="Y1594"/>
  <c r="Z1594" s="1"/>
  <c r="U1594"/>
  <c r="V1594" s="1"/>
  <c r="Q1594"/>
  <c r="R1594" s="1"/>
  <c r="M1594"/>
  <c r="N1594" s="1"/>
  <c r="N1593" s="1"/>
  <c r="F1594"/>
  <c r="D1594" s="1"/>
  <c r="P1593"/>
  <c r="T1593" s="1"/>
  <c r="O1593"/>
  <c r="S1593" s="1"/>
  <c r="M1593"/>
  <c r="D1593"/>
  <c r="J1591"/>
  <c r="D1591"/>
  <c r="J1589"/>
  <c r="D1589"/>
  <c r="J1588"/>
  <c r="D1588"/>
  <c r="J1587"/>
  <c r="D1587"/>
  <c r="J1586"/>
  <c r="D1586"/>
  <c r="J1585"/>
  <c r="D1585"/>
  <c r="J1584"/>
  <c r="D1584"/>
  <c r="J1583"/>
  <c r="D1583"/>
  <c r="J1582"/>
  <c r="D1582"/>
  <c r="J1581"/>
  <c r="D1581"/>
  <c r="J1580"/>
  <c r="D1580"/>
  <c r="J1579"/>
  <c r="D1579"/>
  <c r="J1578"/>
  <c r="D1578"/>
  <c r="J1577"/>
  <c r="D1577"/>
  <c r="J1576"/>
  <c r="D1576"/>
  <c r="J1575"/>
  <c r="D1575"/>
  <c r="J1574"/>
  <c r="D1574"/>
  <c r="J1573"/>
  <c r="D1573"/>
  <c r="J1572"/>
  <c r="D1572"/>
  <c r="J1571"/>
  <c r="D1571"/>
  <c r="J1570"/>
  <c r="D1570"/>
  <c r="J1569"/>
  <c r="D1569"/>
  <c r="J1568"/>
  <c r="D1568"/>
  <c r="D1567"/>
  <c r="D1566"/>
  <c r="D1565"/>
  <c r="J1564"/>
  <c r="J1565" s="1"/>
  <c r="J1566" s="1"/>
  <c r="J1567" s="1"/>
  <c r="I1564"/>
  <c r="I1565" s="1"/>
  <c r="I1566" s="1"/>
  <c r="I1567" s="1"/>
  <c r="I1568" s="1"/>
  <c r="I1569" s="1"/>
  <c r="I1570" s="1"/>
  <c r="I1571" s="1"/>
  <c r="I1572" s="1"/>
  <c r="I1573" s="1"/>
  <c r="I1574" s="1"/>
  <c r="I1575" s="1"/>
  <c r="I1576" s="1"/>
  <c r="I1577" s="1"/>
  <c r="I1578" s="1"/>
  <c r="I1579" s="1"/>
  <c r="I1580" s="1"/>
  <c r="I1581" s="1"/>
  <c r="I1582" s="1"/>
  <c r="I1583" s="1"/>
  <c r="I1584" s="1"/>
  <c r="I1585" s="1"/>
  <c r="I1586" s="1"/>
  <c r="I1587" s="1"/>
  <c r="I1588" s="1"/>
  <c r="I1589" s="1"/>
  <c r="H1564"/>
  <c r="H1565" s="1"/>
  <c r="G1564"/>
  <c r="G1565" s="1"/>
  <c r="G1566" s="1"/>
  <c r="G1567" s="1"/>
  <c r="G1568" s="1"/>
  <c r="G1569" s="1"/>
  <c r="G1570" s="1"/>
  <c r="G1571" s="1"/>
  <c r="G1572" s="1"/>
  <c r="G1573" s="1"/>
  <c r="G1574" s="1"/>
  <c r="G1575" s="1"/>
  <c r="G1576" s="1"/>
  <c r="G1577" s="1"/>
  <c r="G1578" s="1"/>
  <c r="G1579" s="1"/>
  <c r="G1580" s="1"/>
  <c r="G1581" s="1"/>
  <c r="G1582" s="1"/>
  <c r="G1583" s="1"/>
  <c r="G1584" s="1"/>
  <c r="G1585" s="1"/>
  <c r="G1586" s="1"/>
  <c r="G1587" s="1"/>
  <c r="G1588" s="1"/>
  <c r="G1589" s="1"/>
  <c r="E1564"/>
  <c r="E1565" s="1"/>
  <c r="E1566" s="1"/>
  <c r="E1567" s="1"/>
  <c r="E1568" s="1"/>
  <c r="E1569" s="1"/>
  <c r="E1570" s="1"/>
  <c r="E1571" s="1"/>
  <c r="E1572" s="1"/>
  <c r="E1573" s="1"/>
  <c r="E1574" s="1"/>
  <c r="E1575" s="1"/>
  <c r="E1576" s="1"/>
  <c r="E1577" s="1"/>
  <c r="E1578" s="1"/>
  <c r="E1579" s="1"/>
  <c r="E1580" s="1"/>
  <c r="E1581" s="1"/>
  <c r="E1582" s="1"/>
  <c r="E1583" s="1"/>
  <c r="E1584" s="1"/>
  <c r="E1585" s="1"/>
  <c r="E1586" s="1"/>
  <c r="E1587" s="1"/>
  <c r="E1588" s="1"/>
  <c r="E1589" s="1"/>
  <c r="D1564"/>
  <c r="L1563"/>
  <c r="K1563"/>
  <c r="D1563"/>
  <c r="G1553"/>
  <c r="G1549"/>
  <c r="J1548"/>
  <c r="I1548" s="1"/>
  <c r="O1544"/>
  <c r="L3965" l="1"/>
  <c r="H3961"/>
  <c r="N3965"/>
  <c r="J3965"/>
  <c r="G3994"/>
  <c r="I3994" s="1"/>
  <c r="G4001"/>
  <c r="N3908"/>
  <c r="H3904"/>
  <c r="O3909"/>
  <c r="I3922" s="1"/>
  <c r="Q3902"/>
  <c r="Q3905" s="1"/>
  <c r="F3994"/>
  <c r="F3943"/>
  <c r="F3942"/>
  <c r="H3942" s="1"/>
  <c r="F3944"/>
  <c r="M3902"/>
  <c r="M3905" s="1"/>
  <c r="H3965"/>
  <c r="P3965"/>
  <c r="C3969"/>
  <c r="B3971"/>
  <c r="A3970"/>
  <c r="R3965"/>
  <c r="M3908"/>
  <c r="G3904"/>
  <c r="C3911"/>
  <c r="J3904" s="1"/>
  <c r="L3904"/>
  <c r="J3909"/>
  <c r="H3922" s="1"/>
  <c r="N3902"/>
  <c r="N3905" s="1"/>
  <c r="F1646"/>
  <c r="D1646" s="1"/>
  <c r="G3990"/>
  <c r="K3979"/>
  <c r="I3979"/>
  <c r="G3979"/>
  <c r="B3972"/>
  <c r="G3963" s="1"/>
  <c r="K3967"/>
  <c r="I3967"/>
  <c r="G3967"/>
  <c r="A3974"/>
  <c r="C3973"/>
  <c r="O3965"/>
  <c r="M3965"/>
  <c r="C3966"/>
  <c r="K3961"/>
  <c r="H3969"/>
  <c r="J3969" s="1"/>
  <c r="J3970" s="1"/>
  <c r="R3960"/>
  <c r="H3988"/>
  <c r="J3987"/>
  <c r="G3989"/>
  <c r="I3989" s="1"/>
  <c r="I3986" s="1"/>
  <c r="I3988"/>
  <c r="I3985" s="1"/>
  <c r="G3971"/>
  <c r="A3967"/>
  <c r="Q3961" s="1"/>
  <c r="Q3965"/>
  <c r="G3965"/>
  <c r="B3968"/>
  <c r="O3961"/>
  <c r="K3965"/>
  <c r="I3965"/>
  <c r="G3961"/>
  <c r="I3960"/>
  <c r="G3970"/>
  <c r="C3976"/>
  <c r="B3975"/>
  <c r="H3963" s="1"/>
  <c r="H3990"/>
  <c r="L3979"/>
  <c r="J3979"/>
  <c r="H3979"/>
  <c r="A3977"/>
  <c r="L3967"/>
  <c r="J3967"/>
  <c r="H3967"/>
  <c r="B3917"/>
  <c r="H3938"/>
  <c r="L3927"/>
  <c r="J3927"/>
  <c r="H3927"/>
  <c r="A3919"/>
  <c r="C3918"/>
  <c r="L3915"/>
  <c r="J3915"/>
  <c r="H3915"/>
  <c r="P3904"/>
  <c r="B3913"/>
  <c r="A3912"/>
  <c r="H3908"/>
  <c r="K3908"/>
  <c r="C3908"/>
  <c r="I3904" s="1"/>
  <c r="K3904"/>
  <c r="H3936"/>
  <c r="J3935"/>
  <c r="G3937"/>
  <c r="I3937" s="1"/>
  <c r="I3934" s="1"/>
  <c r="I3936"/>
  <c r="I3933" s="1"/>
  <c r="L3933" s="1"/>
  <c r="G3943" s="1"/>
  <c r="I3943" s="1"/>
  <c r="A3909"/>
  <c r="G3908"/>
  <c r="B3910"/>
  <c r="O3904"/>
  <c r="G3938"/>
  <c r="K3927"/>
  <c r="I3927"/>
  <c r="G3927"/>
  <c r="A3916"/>
  <c r="K3915"/>
  <c r="I3915"/>
  <c r="G3915"/>
  <c r="C3915"/>
  <c r="B3914"/>
  <c r="M1622"/>
  <c r="M1623" s="1"/>
  <c r="I1608"/>
  <c r="W1593"/>
  <c r="U1593"/>
  <c r="K1608" s="1"/>
  <c r="I1631"/>
  <c r="G1649"/>
  <c r="F1648"/>
  <c r="D1648" s="1"/>
  <c r="H1566"/>
  <c r="H1567" s="1"/>
  <c r="H1568" s="1"/>
  <c r="H1569" s="1"/>
  <c r="H1570" s="1"/>
  <c r="H1571" s="1"/>
  <c r="H1572" s="1"/>
  <c r="H1573" s="1"/>
  <c r="H1574" s="1"/>
  <c r="H1575" s="1"/>
  <c r="H1576" s="1"/>
  <c r="H1577" s="1"/>
  <c r="H1578" s="1"/>
  <c r="H1579" s="1"/>
  <c r="H1580" s="1"/>
  <c r="H1581" s="1"/>
  <c r="H1582" s="1"/>
  <c r="H1583" s="1"/>
  <c r="H1584" s="1"/>
  <c r="H1585" s="1"/>
  <c r="H1586" s="1"/>
  <c r="H1587" s="1"/>
  <c r="H1588" s="1"/>
  <c r="H1589" s="1"/>
  <c r="L1564"/>
  <c r="J1631"/>
  <c r="J1608"/>
  <c r="X1593"/>
  <c r="V1593"/>
  <c r="L1608" s="1"/>
  <c r="K1564"/>
  <c r="R1593"/>
  <c r="H1630" s="1"/>
  <c r="Q1593"/>
  <c r="G1630" s="1"/>
  <c r="F1647"/>
  <c r="D1647" s="1"/>
  <c r="G3995" l="1"/>
  <c r="I3995" s="1"/>
  <c r="I4001"/>
  <c r="H3994"/>
  <c r="F3995"/>
  <c r="F3996"/>
  <c r="N3961"/>
  <c r="L3971"/>
  <c r="H3971"/>
  <c r="J3971" s="1"/>
  <c r="J3972" s="1"/>
  <c r="R3961"/>
  <c r="H3972"/>
  <c r="J3961"/>
  <c r="K3971"/>
  <c r="I3971" s="1"/>
  <c r="I3972" s="1"/>
  <c r="M3961"/>
  <c r="H3989"/>
  <c r="J3989" s="1"/>
  <c r="J3988"/>
  <c r="G3972"/>
  <c r="I3961"/>
  <c r="B3974"/>
  <c r="O3963"/>
  <c r="G3973"/>
  <c r="A3973"/>
  <c r="Q3963" s="1"/>
  <c r="G3991"/>
  <c r="I3990"/>
  <c r="J3984" s="1"/>
  <c r="B3977"/>
  <c r="A3976"/>
  <c r="P3963"/>
  <c r="H3991"/>
  <c r="J3990"/>
  <c r="C3975"/>
  <c r="L3963"/>
  <c r="K3963"/>
  <c r="C3972"/>
  <c r="I3908"/>
  <c r="G3921" s="1"/>
  <c r="M3904"/>
  <c r="G3919"/>
  <c r="G3911"/>
  <c r="G3907"/>
  <c r="R3904"/>
  <c r="P3908"/>
  <c r="J3921" s="1"/>
  <c r="L3911"/>
  <c r="L3907"/>
  <c r="J3919"/>
  <c r="C3917"/>
  <c r="J3907" s="1"/>
  <c r="H3911"/>
  <c r="J3911" s="1"/>
  <c r="H3907"/>
  <c r="H3919"/>
  <c r="I3919"/>
  <c r="C3914"/>
  <c r="I3907" s="1"/>
  <c r="K3911"/>
  <c r="I3911" s="1"/>
  <c r="K3907"/>
  <c r="A3915"/>
  <c r="B3916"/>
  <c r="O3907"/>
  <c r="G3939"/>
  <c r="I3938"/>
  <c r="J3932" s="1"/>
  <c r="O3908"/>
  <c r="I3921" s="1"/>
  <c r="Q3904"/>
  <c r="H3937"/>
  <c r="J3937" s="1"/>
  <c r="J3936"/>
  <c r="N3904"/>
  <c r="J3908"/>
  <c r="H3921" s="1"/>
  <c r="B3919"/>
  <c r="P3907"/>
  <c r="A3918"/>
  <c r="H3939"/>
  <c r="J3938"/>
  <c r="N1622"/>
  <c r="N1623" s="1"/>
  <c r="AB1593"/>
  <c r="Z1593"/>
  <c r="G1650"/>
  <c r="F1649"/>
  <c r="D1649" s="1"/>
  <c r="AA1593"/>
  <c r="Y1593"/>
  <c r="D1454"/>
  <c r="D1453"/>
  <c r="D1452"/>
  <c r="D1451"/>
  <c r="I1449"/>
  <c r="J1449" s="1"/>
  <c r="I1448"/>
  <c r="J1448" s="1"/>
  <c r="G1446"/>
  <c r="I1446" s="1"/>
  <c r="I1429" s="1"/>
  <c r="G1445"/>
  <c r="I1445" s="1"/>
  <c r="I1426" s="1"/>
  <c r="I1442"/>
  <c r="J1442" s="1"/>
  <c r="I1441"/>
  <c r="J1441" s="1"/>
  <c r="D1440"/>
  <c r="D1439"/>
  <c r="D1437"/>
  <c r="D1436"/>
  <c r="G1434"/>
  <c r="G1452" s="1"/>
  <c r="D1434"/>
  <c r="D1433"/>
  <c r="G1432"/>
  <c r="I1432" s="1"/>
  <c r="D1432"/>
  <c r="D1430"/>
  <c r="D1428"/>
  <c r="G1427"/>
  <c r="D1427"/>
  <c r="G1426"/>
  <c r="D1425"/>
  <c r="D1423"/>
  <c r="H1422"/>
  <c r="J1422" s="1"/>
  <c r="D1422"/>
  <c r="I1421"/>
  <c r="I1422" s="1"/>
  <c r="D1421"/>
  <c r="D1420"/>
  <c r="H1419"/>
  <c r="J1419" s="1"/>
  <c r="D1419"/>
  <c r="I1418"/>
  <c r="I1419" s="1"/>
  <c r="D1418"/>
  <c r="H1417"/>
  <c r="F1446" s="1"/>
  <c r="G1417"/>
  <c r="G1421" s="1"/>
  <c r="I1416"/>
  <c r="I1417" s="1"/>
  <c r="K1428" s="1"/>
  <c r="H1415"/>
  <c r="F1445" s="1"/>
  <c r="G1415"/>
  <c r="G1418" s="1"/>
  <c r="I1414"/>
  <c r="I1415" s="1"/>
  <c r="K1425" s="1"/>
  <c r="G1407"/>
  <c r="G1405"/>
  <c r="O1400"/>
  <c r="H3995" l="1"/>
  <c r="H3943"/>
  <c r="K1442"/>
  <c r="H1414"/>
  <c r="H1448" s="1"/>
  <c r="G1429"/>
  <c r="G1430"/>
  <c r="G3974"/>
  <c r="I3963"/>
  <c r="L3973"/>
  <c r="N3963"/>
  <c r="G3992"/>
  <c r="I3992" s="1"/>
  <c r="J3986" s="1"/>
  <c r="I3991"/>
  <c r="J3985" s="1"/>
  <c r="M3963"/>
  <c r="K3973"/>
  <c r="I3973" s="1"/>
  <c r="I3974" s="1"/>
  <c r="H3974"/>
  <c r="J3963"/>
  <c r="H3992"/>
  <c r="J3992" s="1"/>
  <c r="J3991"/>
  <c r="H3996" s="1"/>
  <c r="H3973"/>
  <c r="J3973" s="1"/>
  <c r="J3974" s="1"/>
  <c r="R3963"/>
  <c r="H3940"/>
  <c r="J3940" s="1"/>
  <c r="J3939"/>
  <c r="O3911"/>
  <c r="K3918" s="1"/>
  <c r="Q3907"/>
  <c r="P3911"/>
  <c r="L3918" s="1"/>
  <c r="J3918" s="1"/>
  <c r="H3920" s="1"/>
  <c r="J3920" s="1"/>
  <c r="R3907"/>
  <c r="N3911"/>
  <c r="H3918" s="1"/>
  <c r="N3907"/>
  <c r="G3940"/>
  <c r="I3940" s="1"/>
  <c r="J3934" s="1"/>
  <c r="I3939"/>
  <c r="J3933" s="1"/>
  <c r="M3933" s="1"/>
  <c r="G3944" s="1"/>
  <c r="I3944" s="1"/>
  <c r="M3911"/>
  <c r="G3918" s="1"/>
  <c r="I3918" s="1"/>
  <c r="G3920" s="1"/>
  <c r="I3920" s="1"/>
  <c r="M3907"/>
  <c r="G1651"/>
  <c r="F1651" s="1"/>
  <c r="D1651" s="1"/>
  <c r="F1650"/>
  <c r="D1650" s="1"/>
  <c r="H1416"/>
  <c r="J1423" s="1"/>
  <c r="H1423" s="1"/>
  <c r="G1439"/>
  <c r="K1441"/>
  <c r="H1445"/>
  <c r="F1426"/>
  <c r="G1422"/>
  <c r="G1423"/>
  <c r="I1423" s="1"/>
  <c r="G1420"/>
  <c r="I1420" s="1"/>
  <c r="G1419"/>
  <c r="M1425"/>
  <c r="I1439"/>
  <c r="H1446"/>
  <c r="F1429"/>
  <c r="G1425"/>
  <c r="I1425" s="1"/>
  <c r="G1436"/>
  <c r="I1427"/>
  <c r="K1448"/>
  <c r="M1441" s="1"/>
  <c r="L1441"/>
  <c r="K1449"/>
  <c r="M1442" s="1"/>
  <c r="L1442"/>
  <c r="I1440"/>
  <c r="M1428"/>
  <c r="G1454"/>
  <c r="K1452"/>
  <c r="K1454" s="1"/>
  <c r="I1452"/>
  <c r="I1454" s="1"/>
  <c r="H1418"/>
  <c r="J1418" s="1"/>
  <c r="H1428"/>
  <c r="H1432"/>
  <c r="I1433"/>
  <c r="G1433" s="1"/>
  <c r="H1434"/>
  <c r="H1442"/>
  <c r="G1451"/>
  <c r="J1415"/>
  <c r="J1417"/>
  <c r="H1421"/>
  <c r="J1421" s="1"/>
  <c r="I1434"/>
  <c r="O1434"/>
  <c r="G1440"/>
  <c r="O1458"/>
  <c r="G3996" l="1"/>
  <c r="I3996" s="1"/>
  <c r="J4001"/>
  <c r="H3944"/>
  <c r="H1425"/>
  <c r="J1439" s="1"/>
  <c r="H1441"/>
  <c r="J1420"/>
  <c r="H1420" s="1"/>
  <c r="H1449"/>
  <c r="G1453"/>
  <c r="K1451"/>
  <c r="K1453" s="1"/>
  <c r="I1451"/>
  <c r="I1453" s="1"/>
  <c r="J1440"/>
  <c r="N1428"/>
  <c r="L1428"/>
  <c r="J1428" s="1"/>
  <c r="K1434"/>
  <c r="G1428"/>
  <c r="I1428" s="1"/>
  <c r="I1430"/>
  <c r="M1434"/>
  <c r="O1430"/>
  <c r="H1430"/>
  <c r="H1452"/>
  <c r="P1434"/>
  <c r="J1434"/>
  <c r="H1451"/>
  <c r="H1427"/>
  <c r="L1432"/>
  <c r="J1432"/>
  <c r="J1462"/>
  <c r="I1462" s="1"/>
  <c r="G1463"/>
  <c r="G1467"/>
  <c r="N1425" l="1"/>
  <c r="L1425"/>
  <c r="J1425" s="1"/>
  <c r="H1439" s="1"/>
  <c r="H1436"/>
  <c r="J1433"/>
  <c r="H1433" s="1"/>
  <c r="J1427"/>
  <c r="H1454"/>
  <c r="L1452"/>
  <c r="L1454" s="1"/>
  <c r="J1452"/>
  <c r="J1454" s="1"/>
  <c r="G1437"/>
  <c r="K1430"/>
  <c r="J1436"/>
  <c r="L1427"/>
  <c r="H1453"/>
  <c r="L1451"/>
  <c r="L1453" s="1"/>
  <c r="J1451"/>
  <c r="J1453" s="1"/>
  <c r="P1430"/>
  <c r="N1434"/>
  <c r="I1437"/>
  <c r="M1430"/>
  <c r="H1429"/>
  <c r="H1440"/>
  <c r="K1432"/>
  <c r="J1430"/>
  <c r="L1434"/>
  <c r="H1426" l="1"/>
  <c r="L1430"/>
  <c r="H1437"/>
  <c r="N1430"/>
  <c r="J1437"/>
  <c r="I1436"/>
  <c r="K1427"/>
  <c r="I1396"/>
  <c r="J1396" s="1"/>
  <c r="G1394"/>
  <c r="I1394" s="1"/>
  <c r="I1382" s="1"/>
  <c r="I1391"/>
  <c r="J1391" s="1"/>
  <c r="D1390"/>
  <c r="D1388"/>
  <c r="D1386"/>
  <c r="G1385"/>
  <c r="G1390" s="1"/>
  <c r="D1385"/>
  <c r="D1383"/>
  <c r="G1382"/>
  <c r="D1381"/>
  <c r="D1379"/>
  <c r="H1378"/>
  <c r="J1378" s="1"/>
  <c r="D1378"/>
  <c r="I1377"/>
  <c r="I1378" s="1"/>
  <c r="D1377"/>
  <c r="H1376"/>
  <c r="J1376" s="1"/>
  <c r="D1376"/>
  <c r="H1375"/>
  <c r="H1385" s="1"/>
  <c r="G1375"/>
  <c r="I1386" s="1"/>
  <c r="I1374"/>
  <c r="I1375" s="1"/>
  <c r="I1376" s="1"/>
  <c r="G1367"/>
  <c r="G1365"/>
  <c r="O1360"/>
  <c r="G1376" l="1"/>
  <c r="G1377" s="1"/>
  <c r="G1378" s="1"/>
  <c r="K1376"/>
  <c r="K1381"/>
  <c r="L1385"/>
  <c r="J1385"/>
  <c r="H1383"/>
  <c r="L1391"/>
  <c r="K1396"/>
  <c r="M1391" s="1"/>
  <c r="J1375"/>
  <c r="H1377"/>
  <c r="I1385"/>
  <c r="F1394"/>
  <c r="H1374"/>
  <c r="G1383"/>
  <c r="K1391"/>
  <c r="H1381" l="1"/>
  <c r="L1376"/>
  <c r="J1379"/>
  <c r="H1379" s="1"/>
  <c r="H1388"/>
  <c r="J1386" s="1"/>
  <c r="H1386" s="1"/>
  <c r="J1383"/>
  <c r="H1394"/>
  <c r="F1382"/>
  <c r="G1379"/>
  <c r="I1379" s="1"/>
  <c r="J1377"/>
  <c r="J1388"/>
  <c r="L1383"/>
  <c r="I1383"/>
  <c r="G1388"/>
  <c r="K1385"/>
  <c r="G1381"/>
  <c r="I1390"/>
  <c r="G1386"/>
  <c r="M1381"/>
  <c r="D3884"/>
  <c r="H3883"/>
  <c r="J3883" s="1"/>
  <c r="J3884" s="1"/>
  <c r="G3883"/>
  <c r="I3884" s="1"/>
  <c r="D3883"/>
  <c r="H3881"/>
  <c r="N3881" s="1"/>
  <c r="G3881"/>
  <c r="K3881" s="1"/>
  <c r="M3881" s="1"/>
  <c r="D3881"/>
  <c r="I3879"/>
  <c r="H3879"/>
  <c r="F3879"/>
  <c r="D3879" s="1"/>
  <c r="H3878"/>
  <c r="J3878" s="1"/>
  <c r="G3878"/>
  <c r="I3878" s="1"/>
  <c r="H3877"/>
  <c r="J3877" s="1"/>
  <c r="G3877"/>
  <c r="I3877" s="1"/>
  <c r="F3875"/>
  <c r="D3875" s="1"/>
  <c r="I3874"/>
  <c r="I3875" s="1"/>
  <c r="G3876" s="1"/>
  <c r="I3876" s="1"/>
  <c r="H3874"/>
  <c r="H3875" s="1"/>
  <c r="H3876" s="1"/>
  <c r="J3876" s="1"/>
  <c r="F3874"/>
  <c r="D3874" s="1"/>
  <c r="H3873"/>
  <c r="J3873" s="1"/>
  <c r="G3873"/>
  <c r="I3873" s="1"/>
  <c r="H3872"/>
  <c r="J3872" s="1"/>
  <c r="G3872"/>
  <c r="I3872" s="1"/>
  <c r="O3862"/>
  <c r="K1383" l="1"/>
  <c r="I1388"/>
  <c r="L1381"/>
  <c r="J1381" s="1"/>
  <c r="I1381"/>
  <c r="N1381"/>
  <c r="J1390"/>
  <c r="L3881"/>
  <c r="J3881" s="1"/>
  <c r="I3883"/>
  <c r="G3884" s="1"/>
  <c r="H3884"/>
  <c r="I3881"/>
  <c r="D3707"/>
  <c r="D3705"/>
  <c r="H3703"/>
  <c r="H3707" s="1"/>
  <c r="G3703"/>
  <c r="G3707" s="1"/>
  <c r="D3703"/>
  <c r="H3702"/>
  <c r="H3705" s="1"/>
  <c r="G3702"/>
  <c r="G3705" s="1"/>
  <c r="D3702"/>
  <c r="F3698"/>
  <c r="D3698" s="1"/>
  <c r="F3695"/>
  <c r="D3695" s="1"/>
  <c r="I3694"/>
  <c r="I3695" s="1"/>
  <c r="H3694"/>
  <c r="H3695" s="1"/>
  <c r="F3694"/>
  <c r="D3694" s="1"/>
  <c r="H3693"/>
  <c r="J3693" s="1"/>
  <c r="G3693"/>
  <c r="I3693" s="1"/>
  <c r="H3692"/>
  <c r="J3692" s="1"/>
  <c r="G3692"/>
  <c r="I3692" s="1"/>
  <c r="F3690"/>
  <c r="D3690" s="1"/>
  <c r="I3689"/>
  <c r="I3690" s="1"/>
  <c r="G3691" s="1"/>
  <c r="I3691" s="1"/>
  <c r="H3689"/>
  <c r="H3690" s="1"/>
  <c r="J3691" s="1"/>
  <c r="H3691" s="1"/>
  <c r="F3689"/>
  <c r="D3689" s="1"/>
  <c r="H3688"/>
  <c r="J3688" s="1"/>
  <c r="G3688"/>
  <c r="I3688" s="1"/>
  <c r="H3687"/>
  <c r="J3687" s="1"/>
  <c r="G3687"/>
  <c r="I3687" s="1"/>
  <c r="F3860"/>
  <c r="D3860" s="1"/>
  <c r="F3859"/>
  <c r="D3859" s="1"/>
  <c r="F3858"/>
  <c r="D3858" s="1"/>
  <c r="F3857"/>
  <c r="D3857" s="1"/>
  <c r="F3856"/>
  <c r="D3856" s="1"/>
  <c r="F3855"/>
  <c r="D3855" s="1"/>
  <c r="F3854"/>
  <c r="D3854" s="1"/>
  <c r="F3853"/>
  <c r="D3853" s="1"/>
  <c r="F3852"/>
  <c r="D3852" s="1"/>
  <c r="F3851"/>
  <c r="D3851" s="1"/>
  <c r="F3850"/>
  <c r="D3850" s="1"/>
  <c r="F3849"/>
  <c r="D3849" s="1"/>
  <c r="J3846"/>
  <c r="M3846" s="1"/>
  <c r="J3845"/>
  <c r="M3845" s="1"/>
  <c r="I3846"/>
  <c r="L3846" s="1"/>
  <c r="I3845"/>
  <c r="L3845" s="1"/>
  <c r="G3846"/>
  <c r="H3846"/>
  <c r="K3846" s="1"/>
  <c r="G3845"/>
  <c r="H3845"/>
  <c r="K3845" s="1"/>
  <c r="H3837"/>
  <c r="H3844" s="1"/>
  <c r="G3837"/>
  <c r="K3837" s="1"/>
  <c r="D3837"/>
  <c r="D3836"/>
  <c r="H3835"/>
  <c r="H3842" s="1"/>
  <c r="G3835"/>
  <c r="K3835" s="1"/>
  <c r="D3835"/>
  <c r="D3834"/>
  <c r="H3833"/>
  <c r="H3840" s="1"/>
  <c r="G3833"/>
  <c r="K3833" s="1"/>
  <c r="D3833"/>
  <c r="D3832"/>
  <c r="D3830"/>
  <c r="H3829"/>
  <c r="H3853" s="1"/>
  <c r="H3859" s="1"/>
  <c r="G3829"/>
  <c r="I3829" s="1"/>
  <c r="D3829"/>
  <c r="D3828"/>
  <c r="H3827"/>
  <c r="H3851" s="1"/>
  <c r="H3857" s="1"/>
  <c r="G3827"/>
  <c r="K3827" s="1"/>
  <c r="D3827"/>
  <c r="D3826"/>
  <c r="H3825"/>
  <c r="H3849" s="1"/>
  <c r="H3855" s="1"/>
  <c r="G3825"/>
  <c r="I3825" s="1"/>
  <c r="D3825"/>
  <c r="H3823"/>
  <c r="J3823" s="1"/>
  <c r="G3823"/>
  <c r="I3823" s="1"/>
  <c r="H3822"/>
  <c r="J3822" s="1"/>
  <c r="G3822"/>
  <c r="I3822" s="1"/>
  <c r="H3821"/>
  <c r="J3821" s="1"/>
  <c r="G3821"/>
  <c r="I3821" s="1"/>
  <c r="H3820"/>
  <c r="J3820" s="1"/>
  <c r="G3820"/>
  <c r="I3820" s="1"/>
  <c r="H3819"/>
  <c r="J3819" s="1"/>
  <c r="G3819"/>
  <c r="I3819" s="1"/>
  <c r="H3818"/>
  <c r="J3818" s="1"/>
  <c r="G3818"/>
  <c r="I3818" s="1"/>
  <c r="H3817"/>
  <c r="J3817" s="1"/>
  <c r="G3817"/>
  <c r="I3817" s="1"/>
  <c r="H3816"/>
  <c r="J3816" s="1"/>
  <c r="G3816"/>
  <c r="I3816" s="1"/>
  <c r="H3815"/>
  <c r="J3815" s="1"/>
  <c r="G3815"/>
  <c r="I3815" s="1"/>
  <c r="H3814"/>
  <c r="J3814" s="1"/>
  <c r="G3814"/>
  <c r="I3814" s="1"/>
  <c r="H3813"/>
  <c r="J3813" s="1"/>
  <c r="G3813"/>
  <c r="I3813" s="1"/>
  <c r="H3812"/>
  <c r="J3812" s="1"/>
  <c r="G3812"/>
  <c r="I3812" s="1"/>
  <c r="D3685"/>
  <c r="D3684"/>
  <c r="H3682"/>
  <c r="H3685" s="1"/>
  <c r="P3685" s="1"/>
  <c r="G3682"/>
  <c r="O3685" s="1"/>
  <c r="D3682"/>
  <c r="H3681"/>
  <c r="H3684" s="1"/>
  <c r="N3684" s="1"/>
  <c r="G3681"/>
  <c r="M3684" s="1"/>
  <c r="D3681"/>
  <c r="F3677"/>
  <c r="D3677" s="1"/>
  <c r="I3676"/>
  <c r="I3677" s="1"/>
  <c r="G3678" s="1"/>
  <c r="H3676"/>
  <c r="H3677" s="1"/>
  <c r="J3678" s="1"/>
  <c r="F3676"/>
  <c r="D3676" s="1"/>
  <c r="H3675"/>
  <c r="J3675" s="1"/>
  <c r="G3675"/>
  <c r="I3675" s="1"/>
  <c r="H3674"/>
  <c r="J3674" s="1"/>
  <c r="G3674"/>
  <c r="I3674" s="1"/>
  <c r="F3671"/>
  <c r="D3671" s="1"/>
  <c r="I3670"/>
  <c r="I3671" s="1"/>
  <c r="G3672" s="1"/>
  <c r="H3670"/>
  <c r="H3671" s="1"/>
  <c r="J3672" s="1"/>
  <c r="F3670"/>
  <c r="D3670" s="1"/>
  <c r="H3669"/>
  <c r="J3669" s="1"/>
  <c r="G3669"/>
  <c r="I3669" s="1"/>
  <c r="H3668"/>
  <c r="J3668" s="1"/>
  <c r="G3668"/>
  <c r="I3668" s="1"/>
  <c r="D3665"/>
  <c r="D3663"/>
  <c r="H3660"/>
  <c r="H3663" s="1"/>
  <c r="G3660"/>
  <c r="K3660" s="1"/>
  <c r="M3660" s="1"/>
  <c r="G3666" s="1"/>
  <c r="I3666" s="1"/>
  <c r="D3660"/>
  <c r="H3659"/>
  <c r="N3659" s="1"/>
  <c r="F3662" s="1"/>
  <c r="G3659"/>
  <c r="G3665" s="1"/>
  <c r="D3659"/>
  <c r="F3655"/>
  <c r="D3655" s="1"/>
  <c r="I3654"/>
  <c r="I3655" s="1"/>
  <c r="G3656" s="1"/>
  <c r="H3654"/>
  <c r="H3655" s="1"/>
  <c r="J3656" s="1"/>
  <c r="F3654"/>
  <c r="D3654" s="1"/>
  <c r="H3653"/>
  <c r="J3653" s="1"/>
  <c r="G3653"/>
  <c r="I3653" s="1"/>
  <c r="H3652"/>
  <c r="J3652" s="1"/>
  <c r="G3652"/>
  <c r="I3652" s="1"/>
  <c r="F3649"/>
  <c r="D3649" s="1"/>
  <c r="I3648"/>
  <c r="I3649" s="1"/>
  <c r="G3650" s="1"/>
  <c r="H3648"/>
  <c r="H3649" s="1"/>
  <c r="H3650" s="1"/>
  <c r="F3648"/>
  <c r="D3648" s="1"/>
  <c r="H3647"/>
  <c r="J3647" s="1"/>
  <c r="G3647"/>
  <c r="I3647" s="1"/>
  <c r="H3646"/>
  <c r="J3646" s="1"/>
  <c r="G3646"/>
  <c r="I3646" s="1"/>
  <c r="D3644"/>
  <c r="D3643"/>
  <c r="H3641"/>
  <c r="H3644" s="1"/>
  <c r="G3641"/>
  <c r="G3644" s="1"/>
  <c r="D3641"/>
  <c r="H3640"/>
  <c r="H3643" s="1"/>
  <c r="G3640"/>
  <c r="G3643" s="1"/>
  <c r="D3640"/>
  <c r="F3636"/>
  <c r="D3636" s="1"/>
  <c r="I3635"/>
  <c r="I3636" s="1"/>
  <c r="G3637" s="1"/>
  <c r="H3635"/>
  <c r="H3636" s="1"/>
  <c r="H3637" s="1"/>
  <c r="F3635"/>
  <c r="D3635" s="1"/>
  <c r="H3634"/>
  <c r="J3634" s="1"/>
  <c r="G3634"/>
  <c r="I3634" s="1"/>
  <c r="H3633"/>
  <c r="J3633" s="1"/>
  <c r="G3633"/>
  <c r="I3633" s="1"/>
  <c r="F3630"/>
  <c r="D3630" s="1"/>
  <c r="I3629"/>
  <c r="I3630" s="1"/>
  <c r="G3631" s="1"/>
  <c r="H3629"/>
  <c r="H3630" s="1"/>
  <c r="H3631" s="1"/>
  <c r="F3629"/>
  <c r="D3629" s="1"/>
  <c r="H3628"/>
  <c r="J3628" s="1"/>
  <c r="G3628"/>
  <c r="I3628" s="1"/>
  <c r="H3627"/>
  <c r="J3627" s="1"/>
  <c r="G3627"/>
  <c r="I3627" s="1"/>
  <c r="D3622"/>
  <c r="H3619"/>
  <c r="L3619" s="1"/>
  <c r="H3622" s="1"/>
  <c r="G3619"/>
  <c r="I3619" s="1"/>
  <c r="K3619" s="1"/>
  <c r="G3622" s="1"/>
  <c r="D3619"/>
  <c r="H3618"/>
  <c r="N3618" s="1"/>
  <c r="F3621" s="1"/>
  <c r="G3618"/>
  <c r="K3618" s="1"/>
  <c r="M3618" s="1"/>
  <c r="G3621" s="1"/>
  <c r="D3618"/>
  <c r="F3616"/>
  <c r="D3616" s="1"/>
  <c r="F3610"/>
  <c r="D3610" s="1"/>
  <c r="I3609"/>
  <c r="I3610" s="1"/>
  <c r="G3611" s="1"/>
  <c r="H3609"/>
  <c r="H3610" s="1"/>
  <c r="H3611" s="1"/>
  <c r="F3609"/>
  <c r="D3609" s="1"/>
  <c r="H3608"/>
  <c r="J3608" s="1"/>
  <c r="G3608"/>
  <c r="I3608" s="1"/>
  <c r="H3607"/>
  <c r="J3607" s="1"/>
  <c r="G3607"/>
  <c r="I3607" s="1"/>
  <c r="F3604"/>
  <c r="D3604" s="1"/>
  <c r="I3603"/>
  <c r="I3604" s="1"/>
  <c r="G3605" s="1"/>
  <c r="H3603"/>
  <c r="H3604" s="1"/>
  <c r="H3605" s="1"/>
  <c r="F3603"/>
  <c r="D3603" s="1"/>
  <c r="H3602"/>
  <c r="J3602" s="1"/>
  <c r="G3602"/>
  <c r="I3602" s="1"/>
  <c r="H3601"/>
  <c r="J3601" s="1"/>
  <c r="G3601"/>
  <c r="I3601" s="1"/>
  <c r="I3599"/>
  <c r="H3599"/>
  <c r="F3599"/>
  <c r="D3599" s="1"/>
  <c r="H3598"/>
  <c r="N3598" s="1"/>
  <c r="G3598"/>
  <c r="K3598" s="1"/>
  <c r="D3598"/>
  <c r="D3596"/>
  <c r="H3595"/>
  <c r="N3595" s="1"/>
  <c r="G3595"/>
  <c r="K3595" s="1"/>
  <c r="M3595" s="1"/>
  <c r="D3595"/>
  <c r="D3593"/>
  <c r="H3591"/>
  <c r="N3591" s="1"/>
  <c r="D3591"/>
  <c r="H3590"/>
  <c r="H3593" s="1"/>
  <c r="G3590"/>
  <c r="G3593" s="1"/>
  <c r="D3590"/>
  <c r="F3586"/>
  <c r="D3586" s="1"/>
  <c r="I3585"/>
  <c r="I3586" s="1"/>
  <c r="H3585"/>
  <c r="H3586" s="1"/>
  <c r="F3585"/>
  <c r="D3585" s="1"/>
  <c r="H3584"/>
  <c r="J3584" s="1"/>
  <c r="G3584"/>
  <c r="I3584" s="1"/>
  <c r="H3583"/>
  <c r="J3583" s="1"/>
  <c r="G3583"/>
  <c r="I3583" s="1"/>
  <c r="I3580"/>
  <c r="G3582" s="1"/>
  <c r="I3582" s="1"/>
  <c r="H3580"/>
  <c r="H3582" s="1"/>
  <c r="J3582" s="1"/>
  <c r="F3580"/>
  <c r="D3580" s="1"/>
  <c r="H3579"/>
  <c r="J3579" s="1"/>
  <c r="G3579"/>
  <c r="I3579" s="1"/>
  <c r="H3578"/>
  <c r="J3578" s="1"/>
  <c r="G3578"/>
  <c r="I3578" s="1"/>
  <c r="D3576"/>
  <c r="H3575"/>
  <c r="N3575" s="1"/>
  <c r="G3575"/>
  <c r="G3573" s="1"/>
  <c r="D3575"/>
  <c r="D3573"/>
  <c r="H3571"/>
  <c r="N3571" s="1"/>
  <c r="G3571"/>
  <c r="G3576" s="1"/>
  <c r="D3571"/>
  <c r="F3568"/>
  <c r="D3568" s="1"/>
  <c r="I3567"/>
  <c r="I3568" s="1"/>
  <c r="G3569" s="1"/>
  <c r="I3569" s="1"/>
  <c r="H3567"/>
  <c r="H3568" s="1"/>
  <c r="J3569" s="1"/>
  <c r="H3569" s="1"/>
  <c r="F3567"/>
  <c r="D3567" s="1"/>
  <c r="H3566"/>
  <c r="J3566" s="1"/>
  <c r="G3566"/>
  <c r="I3566" s="1"/>
  <c r="H3565"/>
  <c r="J3565" s="1"/>
  <c r="G3565"/>
  <c r="I3565" s="1"/>
  <c r="F3563"/>
  <c r="D3563" s="1"/>
  <c r="I3562"/>
  <c r="I3563" s="1"/>
  <c r="G3564" s="1"/>
  <c r="I3564" s="1"/>
  <c r="H3562"/>
  <c r="H3563" s="1"/>
  <c r="H3564" s="1"/>
  <c r="J3564" s="1"/>
  <c r="F3562"/>
  <c r="D3562" s="1"/>
  <c r="H3561"/>
  <c r="J3561" s="1"/>
  <c r="G3561"/>
  <c r="I3561" s="1"/>
  <c r="H3560"/>
  <c r="J3560" s="1"/>
  <c r="G3560"/>
  <c r="I3560" s="1"/>
  <c r="D3558"/>
  <c r="H3557"/>
  <c r="N3557" s="1"/>
  <c r="J3558" s="1"/>
  <c r="G3557"/>
  <c r="K3557" s="1"/>
  <c r="M3557" s="1"/>
  <c r="D3557"/>
  <c r="D3556"/>
  <c r="D3555"/>
  <c r="H3553"/>
  <c r="N3553" s="1"/>
  <c r="G3553"/>
  <c r="K3553" s="1"/>
  <c r="M3553" s="1"/>
  <c r="D3553"/>
  <c r="H3552"/>
  <c r="N3552" s="1"/>
  <c r="G3552"/>
  <c r="G3558" s="1"/>
  <c r="I3558" s="1"/>
  <c r="D3552"/>
  <c r="H3551"/>
  <c r="N3551" s="1"/>
  <c r="G3551"/>
  <c r="K3551" s="1"/>
  <c r="M3551" s="1"/>
  <c r="D3551"/>
  <c r="H3550"/>
  <c r="N3555" s="1"/>
  <c r="P3555" s="1"/>
  <c r="G3550"/>
  <c r="K3550" s="1"/>
  <c r="D3550"/>
  <c r="H3549"/>
  <c r="N3549" s="1"/>
  <c r="G3549"/>
  <c r="K3549" s="1"/>
  <c r="M3549" s="1"/>
  <c r="D3549"/>
  <c r="H3548"/>
  <c r="N3548" s="1"/>
  <c r="G3548"/>
  <c r="K3548" s="1"/>
  <c r="M3548" s="1"/>
  <c r="D3548"/>
  <c r="H3546"/>
  <c r="N3546" s="1"/>
  <c r="G3546"/>
  <c r="K3546" s="1"/>
  <c r="M3546" s="1"/>
  <c r="D3546"/>
  <c r="H3545"/>
  <c r="N3545" s="1"/>
  <c r="G3545"/>
  <c r="K3545" s="1"/>
  <c r="M3545" s="1"/>
  <c r="D3545"/>
  <c r="J3530"/>
  <c r="J3531" s="1"/>
  <c r="H3543" s="1"/>
  <c r="J3543" s="1"/>
  <c r="H3542"/>
  <c r="J3542" s="1"/>
  <c r="G3542"/>
  <c r="I3542" s="1"/>
  <c r="H3541"/>
  <c r="J3541" s="1"/>
  <c r="G3541"/>
  <c r="I3541" s="1"/>
  <c r="J3524"/>
  <c r="J3525" s="1"/>
  <c r="H3540"/>
  <c r="J3540" s="1"/>
  <c r="G3540"/>
  <c r="I3540" s="1"/>
  <c r="H3539"/>
  <c r="J3539" s="1"/>
  <c r="G3539"/>
  <c r="I3539" s="1"/>
  <c r="I3530"/>
  <c r="I3531" s="1"/>
  <c r="H3538" s="1"/>
  <c r="J3538" s="1"/>
  <c r="H3537"/>
  <c r="J3537" s="1"/>
  <c r="G3537"/>
  <c r="I3537" s="1"/>
  <c r="H3536"/>
  <c r="J3536" s="1"/>
  <c r="G3536"/>
  <c r="I3536" s="1"/>
  <c r="I3524"/>
  <c r="I3525" s="1"/>
  <c r="H3535"/>
  <c r="J3535" s="1"/>
  <c r="G3535"/>
  <c r="I3535" s="1"/>
  <c r="H3534"/>
  <c r="J3534" s="1"/>
  <c r="G3534"/>
  <c r="I3534" s="1"/>
  <c r="G3530"/>
  <c r="G3531" s="1"/>
  <c r="H3530"/>
  <c r="H3531" s="1"/>
  <c r="H3529"/>
  <c r="J3529" s="1"/>
  <c r="G3529"/>
  <c r="I3529" s="1"/>
  <c r="H3528"/>
  <c r="J3528" s="1"/>
  <c r="G3528"/>
  <c r="I3528" s="1"/>
  <c r="G3524"/>
  <c r="G3525" s="1"/>
  <c r="H3524"/>
  <c r="H3525" s="1"/>
  <c r="H3523"/>
  <c r="J3523" s="1"/>
  <c r="G3523"/>
  <c r="I3523" s="1"/>
  <c r="H3522"/>
  <c r="J3522" s="1"/>
  <c r="G3522"/>
  <c r="I3522" s="1"/>
  <c r="D3520"/>
  <c r="D3519"/>
  <c r="H3517"/>
  <c r="N3517" s="1"/>
  <c r="J3520" s="1"/>
  <c r="L3520" s="1"/>
  <c r="N3520" s="1"/>
  <c r="P3520" s="1"/>
  <c r="G3517"/>
  <c r="K3517" s="1"/>
  <c r="D3517"/>
  <c r="H3516"/>
  <c r="N3516" s="1"/>
  <c r="J3519" s="1"/>
  <c r="L3519" s="1"/>
  <c r="N3519" s="1"/>
  <c r="P3519" s="1"/>
  <c r="R3519" s="1"/>
  <c r="G3516"/>
  <c r="K3516" s="1"/>
  <c r="D3516"/>
  <c r="F3513"/>
  <c r="D3513" s="1"/>
  <c r="I3512"/>
  <c r="I3513" s="1"/>
  <c r="G3514" s="1"/>
  <c r="I3514" s="1"/>
  <c r="H3512"/>
  <c r="H3513" s="1"/>
  <c r="J3514" s="1"/>
  <c r="H3514" s="1"/>
  <c r="F3512"/>
  <c r="D3512" s="1"/>
  <c r="H3511"/>
  <c r="J3511" s="1"/>
  <c r="G3511"/>
  <c r="I3511" s="1"/>
  <c r="H3510"/>
  <c r="J3510" s="1"/>
  <c r="G3510"/>
  <c r="I3510" s="1"/>
  <c r="F3508"/>
  <c r="D3508" s="1"/>
  <c r="I3507"/>
  <c r="I3508" s="1"/>
  <c r="G3509" s="1"/>
  <c r="I3509" s="1"/>
  <c r="H3507"/>
  <c r="H3508" s="1"/>
  <c r="J3509" s="1"/>
  <c r="H3509" s="1"/>
  <c r="F3507"/>
  <c r="D3507" s="1"/>
  <c r="H3506"/>
  <c r="J3506" s="1"/>
  <c r="G3506"/>
  <c r="I3506" s="1"/>
  <c r="H3505"/>
  <c r="J3505" s="1"/>
  <c r="G3505"/>
  <c r="I3505" s="1"/>
  <c r="H3503"/>
  <c r="T3503" s="1"/>
  <c r="G3503"/>
  <c r="S3503" s="1"/>
  <c r="D3503"/>
  <c r="D3502"/>
  <c r="H3500"/>
  <c r="J3503" s="1"/>
  <c r="G3500"/>
  <c r="I3503" s="1"/>
  <c r="D3500"/>
  <c r="H3499"/>
  <c r="N3499" s="1"/>
  <c r="J3502" s="1"/>
  <c r="L3502" s="1"/>
  <c r="N3502" s="1"/>
  <c r="P3502" s="1"/>
  <c r="R3502" s="1"/>
  <c r="G3499"/>
  <c r="K3499" s="1"/>
  <c r="D3499"/>
  <c r="F3496"/>
  <c r="D3496" s="1"/>
  <c r="I3495"/>
  <c r="I3496" s="1"/>
  <c r="G3497" s="1"/>
  <c r="I3497" s="1"/>
  <c r="H3495"/>
  <c r="H3496" s="1"/>
  <c r="J3497" s="1"/>
  <c r="H3497" s="1"/>
  <c r="F3495"/>
  <c r="D3495" s="1"/>
  <c r="H3494"/>
  <c r="J3494" s="1"/>
  <c r="G3494"/>
  <c r="I3494" s="1"/>
  <c r="H3493"/>
  <c r="J3493" s="1"/>
  <c r="G3493"/>
  <c r="I3493" s="1"/>
  <c r="F3491"/>
  <c r="D3491" s="1"/>
  <c r="I3490"/>
  <c r="I3491" s="1"/>
  <c r="G3492" s="1"/>
  <c r="I3492" s="1"/>
  <c r="H3490"/>
  <c r="H3491" s="1"/>
  <c r="J3492" s="1"/>
  <c r="H3492" s="1"/>
  <c r="F3490"/>
  <c r="D3490" s="1"/>
  <c r="H3489"/>
  <c r="J3489" s="1"/>
  <c r="G3489"/>
  <c r="I3489" s="1"/>
  <c r="H3488"/>
  <c r="J3488" s="1"/>
  <c r="G3488"/>
  <c r="I3488" s="1"/>
  <c r="D3486"/>
  <c r="H3485"/>
  <c r="N3485" s="1"/>
  <c r="G3485"/>
  <c r="K3485" s="1"/>
  <c r="M3485" s="1"/>
  <c r="D3485"/>
  <c r="D3483"/>
  <c r="H3481"/>
  <c r="N3481" s="1"/>
  <c r="G3481"/>
  <c r="G3486" s="1"/>
  <c r="D3481"/>
  <c r="F3478"/>
  <c r="D3478" s="1"/>
  <c r="I3477"/>
  <c r="I3478" s="1"/>
  <c r="G3479" s="1"/>
  <c r="I3479" s="1"/>
  <c r="H3477"/>
  <c r="H3478" s="1"/>
  <c r="J3479" s="1"/>
  <c r="H3479" s="1"/>
  <c r="F3477"/>
  <c r="D3477" s="1"/>
  <c r="H3476"/>
  <c r="J3476" s="1"/>
  <c r="G3476"/>
  <c r="I3476" s="1"/>
  <c r="H3475"/>
  <c r="J3475" s="1"/>
  <c r="G3475"/>
  <c r="I3475" s="1"/>
  <c r="F3473"/>
  <c r="D3473" s="1"/>
  <c r="I3472"/>
  <c r="I3473" s="1"/>
  <c r="G3474" s="1"/>
  <c r="I3474" s="1"/>
  <c r="H3472"/>
  <c r="H3473" s="1"/>
  <c r="H3474" s="1"/>
  <c r="J3474" s="1"/>
  <c r="F3472"/>
  <c r="D3472" s="1"/>
  <c r="H3471"/>
  <c r="J3471" s="1"/>
  <c r="G3471"/>
  <c r="I3471" s="1"/>
  <c r="H3470"/>
  <c r="J3470" s="1"/>
  <c r="G3470"/>
  <c r="I3470" s="1"/>
  <c r="O3801"/>
  <c r="O3459"/>
  <c r="G3538" l="1"/>
  <c r="I3538" s="1"/>
  <c r="G3543"/>
  <c r="I3543" s="1"/>
  <c r="G3483"/>
  <c r="K3483" s="1"/>
  <c r="M3483" s="1"/>
  <c r="H1390"/>
  <c r="H1382"/>
  <c r="H3573"/>
  <c r="N3573" s="1"/>
  <c r="H3483"/>
  <c r="N3483" s="1"/>
  <c r="G3697"/>
  <c r="I3697" s="1"/>
  <c r="G3696"/>
  <c r="I3696" s="1"/>
  <c r="I3698"/>
  <c r="H3698"/>
  <c r="H3697"/>
  <c r="J3697" s="1"/>
  <c r="J3696"/>
  <c r="H3696" s="1"/>
  <c r="I3702"/>
  <c r="I3705" s="1"/>
  <c r="K3705" s="1"/>
  <c r="K3702"/>
  <c r="M3702" s="1"/>
  <c r="L3703"/>
  <c r="J3703" s="1"/>
  <c r="J3707" s="1"/>
  <c r="L3707" s="1"/>
  <c r="N3703"/>
  <c r="L3702"/>
  <c r="J3702" s="1"/>
  <c r="J3705" s="1"/>
  <c r="L3705" s="1"/>
  <c r="N3702"/>
  <c r="I3703"/>
  <c r="I3707" s="1"/>
  <c r="K3707" s="1"/>
  <c r="K3703"/>
  <c r="M3703" s="1"/>
  <c r="G3834"/>
  <c r="M3827"/>
  <c r="M3833"/>
  <c r="G3826"/>
  <c r="M3835"/>
  <c r="G3828"/>
  <c r="M3837"/>
  <c r="G3830"/>
  <c r="K3825"/>
  <c r="I3827"/>
  <c r="K3829"/>
  <c r="N3833"/>
  <c r="N3835"/>
  <c r="N3837"/>
  <c r="I3849"/>
  <c r="I3855" s="1"/>
  <c r="I3851"/>
  <c r="I3857" s="1"/>
  <c r="I3853"/>
  <c r="I3859" s="1"/>
  <c r="L3833"/>
  <c r="L3835"/>
  <c r="L3837"/>
  <c r="L3825"/>
  <c r="N3825"/>
  <c r="L3827"/>
  <c r="N3827"/>
  <c r="L3829"/>
  <c r="N3829"/>
  <c r="I3833"/>
  <c r="I3835"/>
  <c r="I3837"/>
  <c r="H3839"/>
  <c r="H3841"/>
  <c r="H3843"/>
  <c r="J3673"/>
  <c r="H3672"/>
  <c r="H3673" s="1"/>
  <c r="J3679"/>
  <c r="H3678"/>
  <c r="H3679" s="1"/>
  <c r="G3673"/>
  <c r="I3673" s="1"/>
  <c r="I3672"/>
  <c r="G3679"/>
  <c r="I3679" s="1"/>
  <c r="I3678"/>
  <c r="I3681"/>
  <c r="K3684" s="1"/>
  <c r="K3681"/>
  <c r="M3681" s="1"/>
  <c r="L3682"/>
  <c r="N3682"/>
  <c r="G3684"/>
  <c r="I3684" s="1"/>
  <c r="L3681"/>
  <c r="N3681"/>
  <c r="I3682"/>
  <c r="K3685" s="1"/>
  <c r="M3685" s="1"/>
  <c r="K3682"/>
  <c r="M3682" s="1"/>
  <c r="G3685"/>
  <c r="I3685" s="1"/>
  <c r="H3651"/>
  <c r="J3650"/>
  <c r="J3651" s="1"/>
  <c r="J3657"/>
  <c r="H3656"/>
  <c r="H3657" s="1"/>
  <c r="G3651"/>
  <c r="I3651" s="1"/>
  <c r="I3650"/>
  <c r="G3657"/>
  <c r="I3657" s="1"/>
  <c r="I3656"/>
  <c r="I3659"/>
  <c r="I3665" s="1"/>
  <c r="K3665" s="1"/>
  <c r="K3659"/>
  <c r="M3659" s="1"/>
  <c r="G3662" s="1"/>
  <c r="I3662" s="1"/>
  <c r="L3660"/>
  <c r="J3660" s="1"/>
  <c r="N3660"/>
  <c r="F3666" s="1"/>
  <c r="G3663"/>
  <c r="H3665"/>
  <c r="L3659"/>
  <c r="J3659" s="1"/>
  <c r="I3660"/>
  <c r="I3663" s="1"/>
  <c r="K3663" s="1"/>
  <c r="H3632"/>
  <c r="J3631"/>
  <c r="J3632" s="1"/>
  <c r="H3638"/>
  <c r="J3637"/>
  <c r="J3638" s="1"/>
  <c r="Q3643"/>
  <c r="O3643" s="1"/>
  <c r="M3643"/>
  <c r="I3643"/>
  <c r="K3643" s="1"/>
  <c r="R3644"/>
  <c r="P3644" s="1"/>
  <c r="J3644"/>
  <c r="G3632"/>
  <c r="I3632" s="1"/>
  <c r="I3631"/>
  <c r="G3638"/>
  <c r="I3638" s="1"/>
  <c r="I3637"/>
  <c r="R3643"/>
  <c r="P3643" s="1"/>
  <c r="J3643"/>
  <c r="Q3644"/>
  <c r="O3644" s="1"/>
  <c r="M3644"/>
  <c r="I3644"/>
  <c r="K3644" s="1"/>
  <c r="I3640"/>
  <c r="K3640"/>
  <c r="M3640" s="1"/>
  <c r="L3641"/>
  <c r="N3641"/>
  <c r="L3640"/>
  <c r="N3640"/>
  <c r="I3641"/>
  <c r="K3641"/>
  <c r="M3641" s="1"/>
  <c r="H3606"/>
  <c r="J3605"/>
  <c r="J3606" s="1"/>
  <c r="H3612"/>
  <c r="H3613" s="1"/>
  <c r="H3614" s="1"/>
  <c r="J3611"/>
  <c r="J3612" s="1"/>
  <c r="J3613" s="1"/>
  <c r="J3614" s="1"/>
  <c r="M3622"/>
  <c r="I3622"/>
  <c r="K3622" s="1"/>
  <c r="G3623"/>
  <c r="G3606"/>
  <c r="I3606" s="1"/>
  <c r="I3605"/>
  <c r="G3612"/>
  <c r="I3611"/>
  <c r="I3621"/>
  <c r="I3615" s="1"/>
  <c r="G3615"/>
  <c r="H3623"/>
  <c r="N3622"/>
  <c r="J3622"/>
  <c r="L3622" s="1"/>
  <c r="L3618"/>
  <c r="I3618"/>
  <c r="J3619"/>
  <c r="J3588"/>
  <c r="H3588" s="1"/>
  <c r="H3587"/>
  <c r="J3587" s="1"/>
  <c r="K3593"/>
  <c r="I3593"/>
  <c r="M3598"/>
  <c r="K3591"/>
  <c r="M3591" s="1"/>
  <c r="G3591"/>
  <c r="I3591" s="1"/>
  <c r="G3588"/>
  <c r="I3588" s="1"/>
  <c r="G3587"/>
  <c r="I3587" s="1"/>
  <c r="L3596"/>
  <c r="J3596" s="1"/>
  <c r="N3593"/>
  <c r="L3593"/>
  <c r="J3593" s="1"/>
  <c r="H3596" s="1"/>
  <c r="N3596" s="1"/>
  <c r="J3581"/>
  <c r="H3581" s="1"/>
  <c r="I3590"/>
  <c r="K3590"/>
  <c r="L3595"/>
  <c r="J3595" s="1"/>
  <c r="L3598"/>
  <c r="G3581"/>
  <c r="I3581" s="1"/>
  <c r="L3590"/>
  <c r="J3590" s="1"/>
  <c r="N3590"/>
  <c r="I3595"/>
  <c r="I3598"/>
  <c r="K3573"/>
  <c r="M3573" s="1"/>
  <c r="I3573"/>
  <c r="K3576"/>
  <c r="M3576" s="1"/>
  <c r="I3576"/>
  <c r="I3571"/>
  <c r="K3571"/>
  <c r="M3571" s="1"/>
  <c r="I3575"/>
  <c r="K3575"/>
  <c r="M3575" s="1"/>
  <c r="H3576"/>
  <c r="L3571"/>
  <c r="J3571" s="1"/>
  <c r="L3575"/>
  <c r="J3575" s="1"/>
  <c r="J3527"/>
  <c r="H3527" s="1"/>
  <c r="H3526"/>
  <c r="J3526" s="1"/>
  <c r="H3533"/>
  <c r="J3533" s="1"/>
  <c r="J3532"/>
  <c r="H3532" s="1"/>
  <c r="G3555"/>
  <c r="M3550"/>
  <c r="G3527"/>
  <c r="I3527" s="1"/>
  <c r="G3526"/>
  <c r="I3526" s="1"/>
  <c r="G3533"/>
  <c r="I3533" s="1"/>
  <c r="G3532"/>
  <c r="I3532" s="1"/>
  <c r="I3545"/>
  <c r="L3546"/>
  <c r="J3546" s="1"/>
  <c r="I3548"/>
  <c r="L3549"/>
  <c r="J3549" s="1"/>
  <c r="I3550"/>
  <c r="L3551"/>
  <c r="J3551" s="1"/>
  <c r="I3552"/>
  <c r="K3552"/>
  <c r="M3552" s="1"/>
  <c r="L3553"/>
  <c r="J3553" s="1"/>
  <c r="I3557"/>
  <c r="L3545"/>
  <c r="J3545" s="1"/>
  <c r="I3546"/>
  <c r="L3548"/>
  <c r="J3548" s="1"/>
  <c r="I3549"/>
  <c r="L3550"/>
  <c r="N3550"/>
  <c r="I3551"/>
  <c r="L3552"/>
  <c r="J3552" s="1"/>
  <c r="I3553"/>
  <c r="L3557"/>
  <c r="G3519"/>
  <c r="K3519" s="1"/>
  <c r="M3519" s="1"/>
  <c r="O3519" s="1"/>
  <c r="Q3519" s="1"/>
  <c r="M3516"/>
  <c r="I3519" s="1"/>
  <c r="G3520"/>
  <c r="K3520" s="1"/>
  <c r="M3520" s="1"/>
  <c r="O3520" s="1"/>
  <c r="M3517"/>
  <c r="I3520" s="1"/>
  <c r="I3516"/>
  <c r="L3517"/>
  <c r="L3516"/>
  <c r="I3517"/>
  <c r="G3502"/>
  <c r="K3502" s="1"/>
  <c r="M3502" s="1"/>
  <c r="O3502" s="1"/>
  <c r="Q3502" s="1"/>
  <c r="M3499"/>
  <c r="I3502" s="1"/>
  <c r="I3499"/>
  <c r="L3500"/>
  <c r="J3500" s="1"/>
  <c r="L3503" s="1"/>
  <c r="N3503" s="1"/>
  <c r="P3503" s="1"/>
  <c r="R3503" s="1"/>
  <c r="N3500"/>
  <c r="L3499"/>
  <c r="I3500"/>
  <c r="K3503" s="1"/>
  <c r="M3503" s="1"/>
  <c r="O3503" s="1"/>
  <c r="Q3503" s="1"/>
  <c r="K3500"/>
  <c r="M3500" s="1"/>
  <c r="K3486"/>
  <c r="M3486" s="1"/>
  <c r="I3486"/>
  <c r="I3481"/>
  <c r="K3481"/>
  <c r="M3481" s="1"/>
  <c r="I3485"/>
  <c r="H3486"/>
  <c r="L3481"/>
  <c r="J3481" s="1"/>
  <c r="I3483"/>
  <c r="L3485"/>
  <c r="J3485" s="1"/>
  <c r="L3483" l="1"/>
  <c r="J3483" s="1"/>
  <c r="L3573"/>
  <c r="J3573" s="1"/>
  <c r="G3700"/>
  <c r="I3700" s="1"/>
  <c r="G3699"/>
  <c r="I3699" s="1"/>
  <c r="H3700"/>
  <c r="J3700" s="1"/>
  <c r="H3699"/>
  <c r="J3699" s="1"/>
  <c r="H3836"/>
  <c r="J3829"/>
  <c r="H3834"/>
  <c r="J3827"/>
  <c r="H3832"/>
  <c r="J3825"/>
  <c r="H3828"/>
  <c r="J3835"/>
  <c r="G3836"/>
  <c r="M3829"/>
  <c r="M3825"/>
  <c r="G3832"/>
  <c r="G3841"/>
  <c r="I3834"/>
  <c r="K3834"/>
  <c r="H3830"/>
  <c r="J3837"/>
  <c r="H3826"/>
  <c r="J3833"/>
  <c r="K3830"/>
  <c r="I3830"/>
  <c r="G3844"/>
  <c r="I3854"/>
  <c r="I3860" s="1"/>
  <c r="K3828"/>
  <c r="I3828"/>
  <c r="G3842"/>
  <c r="I3852"/>
  <c r="I3858" s="1"/>
  <c r="K3826"/>
  <c r="I3826"/>
  <c r="G3840"/>
  <c r="I3850"/>
  <c r="I3856" s="1"/>
  <c r="L3685"/>
  <c r="N3685" s="1"/>
  <c r="J3682"/>
  <c r="J3685" s="1"/>
  <c r="L3684"/>
  <c r="J3681"/>
  <c r="J3684" s="1"/>
  <c r="H3662"/>
  <c r="J3665"/>
  <c r="L3665" s="1"/>
  <c r="H3666"/>
  <c r="J3663"/>
  <c r="L3663" s="1"/>
  <c r="L3643"/>
  <c r="N3643" s="1"/>
  <c r="J3640"/>
  <c r="L3644"/>
  <c r="N3644" s="1"/>
  <c r="J3641"/>
  <c r="H3621"/>
  <c r="H3615" s="1"/>
  <c r="J3618"/>
  <c r="G3624"/>
  <c r="I3623"/>
  <c r="I3616"/>
  <c r="H3624"/>
  <c r="F3623"/>
  <c r="G3613"/>
  <c r="I3612"/>
  <c r="J3598"/>
  <c r="L3591"/>
  <c r="J3591" s="1"/>
  <c r="G3596"/>
  <c r="I3596" s="1"/>
  <c r="M3590"/>
  <c r="K3596"/>
  <c r="M3596" s="1"/>
  <c r="M3593"/>
  <c r="N3576"/>
  <c r="L3576"/>
  <c r="J3576" s="1"/>
  <c r="H3555"/>
  <c r="J3550"/>
  <c r="G3556"/>
  <c r="O3555"/>
  <c r="K3555"/>
  <c r="I3555"/>
  <c r="J3557"/>
  <c r="H3558"/>
  <c r="H3519"/>
  <c r="J3516"/>
  <c r="H3520"/>
  <c r="J3517"/>
  <c r="H3502"/>
  <c r="J3499"/>
  <c r="N3486"/>
  <c r="L3486"/>
  <c r="J3486" s="1"/>
  <c r="M3834" l="1"/>
  <c r="I3841"/>
  <c r="G3843"/>
  <c r="K3836"/>
  <c r="I3836"/>
  <c r="H3852"/>
  <c r="H3858" s="1"/>
  <c r="F3842"/>
  <c r="L3828"/>
  <c r="J3828" s="1"/>
  <c r="N3828"/>
  <c r="F3839"/>
  <c r="N3832"/>
  <c r="L3832"/>
  <c r="J3832" s="1"/>
  <c r="F3841"/>
  <c r="N3834"/>
  <c r="L3834"/>
  <c r="J3834" s="1"/>
  <c r="F3843"/>
  <c r="N3836"/>
  <c r="L3836"/>
  <c r="J3836" s="1"/>
  <c r="M3826"/>
  <c r="I3840"/>
  <c r="M3828"/>
  <c r="I3842"/>
  <c r="M3830"/>
  <c r="I3844"/>
  <c r="H3850"/>
  <c r="H3856" s="1"/>
  <c r="F3840"/>
  <c r="L3826"/>
  <c r="J3826" s="1"/>
  <c r="N3826"/>
  <c r="H3854"/>
  <c r="H3860" s="1"/>
  <c r="F3844"/>
  <c r="N3830"/>
  <c r="L3830"/>
  <c r="J3830" s="1"/>
  <c r="G3839"/>
  <c r="I3832"/>
  <c r="K3832"/>
  <c r="G3614"/>
  <c r="I3614" s="1"/>
  <c r="I3613"/>
  <c r="H3625"/>
  <c r="F3625" s="1"/>
  <c r="F3624"/>
  <c r="G3625"/>
  <c r="I3625" s="1"/>
  <c r="I3624"/>
  <c r="J3615"/>
  <c r="H3616"/>
  <c r="I3556"/>
  <c r="M3555"/>
  <c r="L3555"/>
  <c r="J3555" s="1"/>
  <c r="H3556"/>
  <c r="J3556" s="1"/>
  <c r="M3832" l="1"/>
  <c r="I3839"/>
  <c r="I3843"/>
  <c r="M3836"/>
  <c r="I3414"/>
  <c r="F3414"/>
  <c r="D3414" s="1"/>
  <c r="I3413"/>
  <c r="F3413"/>
  <c r="D3413" s="1"/>
  <c r="I3412"/>
  <c r="G3412"/>
  <c r="D3412"/>
  <c r="I3410"/>
  <c r="G3410"/>
  <c r="D3410"/>
  <c r="G3406"/>
  <c r="F3406"/>
  <c r="G3404"/>
  <c r="G3408" s="1"/>
  <c r="F3404"/>
  <c r="F3408" s="1"/>
  <c r="K3373"/>
  <c r="M3373" s="1"/>
  <c r="D3399"/>
  <c r="C3399"/>
  <c r="S3399" s="1"/>
  <c r="D3398"/>
  <c r="C3398"/>
  <c r="S3398" s="1"/>
  <c r="D3397"/>
  <c r="C3397"/>
  <c r="S3397" s="1"/>
  <c r="D3396"/>
  <c r="C3396"/>
  <c r="S3396" s="1"/>
  <c r="D3395"/>
  <c r="C3395"/>
  <c r="S3395" s="1"/>
  <c r="D3393"/>
  <c r="C3393"/>
  <c r="S3393" s="1"/>
  <c r="D3392"/>
  <c r="C3392"/>
  <c r="S3392" s="1"/>
  <c r="D3391"/>
  <c r="C3391"/>
  <c r="S3391" s="1"/>
  <c r="D3390"/>
  <c r="C3390"/>
  <c r="S3390" s="1"/>
  <c r="D3389"/>
  <c r="C3389"/>
  <c r="S3389" s="1"/>
  <c r="D3387"/>
  <c r="C3387"/>
  <c r="S3387" s="1"/>
  <c r="D3386"/>
  <c r="C3386"/>
  <c r="S3386" s="1"/>
  <c r="I3384"/>
  <c r="K3384" s="1"/>
  <c r="H3384"/>
  <c r="J3384" s="1"/>
  <c r="D3384"/>
  <c r="N3382"/>
  <c r="L3382" s="1"/>
  <c r="J3382"/>
  <c r="G3382"/>
  <c r="M3382" s="1"/>
  <c r="K3382" s="1"/>
  <c r="D3382"/>
  <c r="D3379"/>
  <c r="J3378"/>
  <c r="H3379" s="1"/>
  <c r="I3378"/>
  <c r="I3379" s="1"/>
  <c r="H3378"/>
  <c r="J3379" s="1"/>
  <c r="G3378"/>
  <c r="G3379" s="1"/>
  <c r="D3378"/>
  <c r="J3377"/>
  <c r="I3377"/>
  <c r="H3377"/>
  <c r="G3377"/>
  <c r="D3377"/>
  <c r="J3376"/>
  <c r="H3376"/>
  <c r="G3376"/>
  <c r="I3376" s="1"/>
  <c r="D3376"/>
  <c r="D3375"/>
  <c r="D3374"/>
  <c r="P3373"/>
  <c r="J3373"/>
  <c r="N3373" s="1"/>
  <c r="H3373"/>
  <c r="H3374" s="1"/>
  <c r="D3373"/>
  <c r="G3369"/>
  <c r="G3368"/>
  <c r="G3367"/>
  <c r="G3366"/>
  <c r="G3365"/>
  <c r="I3363"/>
  <c r="I3362"/>
  <c r="I3360"/>
  <c r="I3358"/>
  <c r="I3359" s="1"/>
  <c r="C3356"/>
  <c r="C3357" s="1"/>
  <c r="C3358" s="1"/>
  <c r="C3359" s="1"/>
  <c r="C3360" s="1"/>
  <c r="C3361" s="1"/>
  <c r="C3362" s="1"/>
  <c r="C3363" s="1"/>
  <c r="C3364" s="1"/>
  <c r="C3365" s="1"/>
  <c r="C3366" s="1"/>
  <c r="C3367" s="1"/>
  <c r="C3368" s="1"/>
  <c r="C3369" s="1"/>
  <c r="O3354"/>
  <c r="G3373" l="1"/>
  <c r="G3374" s="1"/>
  <c r="H3375"/>
  <c r="J3374"/>
  <c r="J3375" s="1"/>
  <c r="I3375"/>
  <c r="O3373"/>
  <c r="G3375" s="1"/>
  <c r="I3382"/>
  <c r="H3386"/>
  <c r="J3386"/>
  <c r="L3386"/>
  <c r="N3386"/>
  <c r="P3386"/>
  <c r="R3386"/>
  <c r="T3386"/>
  <c r="H3387"/>
  <c r="J3387"/>
  <c r="L3387"/>
  <c r="N3387"/>
  <c r="P3387"/>
  <c r="R3387"/>
  <c r="T3387"/>
  <c r="H3389"/>
  <c r="J3389"/>
  <c r="L3389"/>
  <c r="N3389"/>
  <c r="P3389"/>
  <c r="R3389"/>
  <c r="T3389"/>
  <c r="H3390"/>
  <c r="J3390"/>
  <c r="L3390"/>
  <c r="N3390"/>
  <c r="P3390"/>
  <c r="R3390"/>
  <c r="T3390"/>
  <c r="H3391"/>
  <c r="J3391"/>
  <c r="L3391"/>
  <c r="N3391"/>
  <c r="P3391"/>
  <c r="R3391"/>
  <c r="T3391"/>
  <c r="H3392"/>
  <c r="J3392"/>
  <c r="L3392"/>
  <c r="N3392"/>
  <c r="P3392"/>
  <c r="R3392"/>
  <c r="T3392"/>
  <c r="H3393"/>
  <c r="J3393"/>
  <c r="L3393"/>
  <c r="N3393"/>
  <c r="P3393"/>
  <c r="R3393"/>
  <c r="T3393"/>
  <c r="H3395"/>
  <c r="J3395"/>
  <c r="L3395"/>
  <c r="N3395"/>
  <c r="P3395"/>
  <c r="R3395"/>
  <c r="T3395"/>
  <c r="H3396"/>
  <c r="J3396"/>
  <c r="L3396"/>
  <c r="N3396"/>
  <c r="P3396"/>
  <c r="R3396"/>
  <c r="T3396"/>
  <c r="H3397"/>
  <c r="J3397"/>
  <c r="L3397"/>
  <c r="N3397"/>
  <c r="P3397"/>
  <c r="R3397"/>
  <c r="T3397"/>
  <c r="H3398"/>
  <c r="J3398"/>
  <c r="L3398"/>
  <c r="N3398"/>
  <c r="P3398"/>
  <c r="R3398"/>
  <c r="T3398"/>
  <c r="H3399"/>
  <c r="J3399"/>
  <c r="L3399"/>
  <c r="N3399"/>
  <c r="P3399"/>
  <c r="R3399"/>
  <c r="T3399"/>
  <c r="G3386"/>
  <c r="I3386"/>
  <c r="K3386"/>
  <c r="M3386"/>
  <c r="O3386"/>
  <c r="Q3386"/>
  <c r="G3387"/>
  <c r="I3387"/>
  <c r="K3387"/>
  <c r="M3387"/>
  <c r="O3387"/>
  <c r="Q3387"/>
  <c r="G3389"/>
  <c r="I3389"/>
  <c r="K3389"/>
  <c r="M3389"/>
  <c r="O3389"/>
  <c r="Q3389"/>
  <c r="G3390"/>
  <c r="I3390"/>
  <c r="K3390"/>
  <c r="M3390"/>
  <c r="O3390"/>
  <c r="Q3390"/>
  <c r="G3391"/>
  <c r="I3391"/>
  <c r="K3391"/>
  <c r="M3391"/>
  <c r="O3391"/>
  <c r="Q3391"/>
  <c r="G3392"/>
  <c r="I3392"/>
  <c r="K3392"/>
  <c r="M3392"/>
  <c r="O3392"/>
  <c r="Q3392"/>
  <c r="G3393"/>
  <c r="I3393"/>
  <c r="K3393"/>
  <c r="M3393"/>
  <c r="O3393"/>
  <c r="Q3393"/>
  <c r="G3395"/>
  <c r="I3395"/>
  <c r="K3395"/>
  <c r="M3395"/>
  <c r="O3395"/>
  <c r="Q3395"/>
  <c r="G3396"/>
  <c r="I3396"/>
  <c r="K3396"/>
  <c r="M3396"/>
  <c r="O3396"/>
  <c r="Q3396"/>
  <c r="G3397"/>
  <c r="I3397"/>
  <c r="K3397"/>
  <c r="M3397"/>
  <c r="O3397"/>
  <c r="Q3397"/>
  <c r="G3398"/>
  <c r="I3398"/>
  <c r="K3398"/>
  <c r="M3398"/>
  <c r="O3398"/>
  <c r="Q3398"/>
  <c r="G3399"/>
  <c r="I3399"/>
  <c r="K3399"/>
  <c r="M3399"/>
  <c r="O3399"/>
  <c r="Q3399"/>
  <c r="I3373" l="1"/>
  <c r="I3374" s="1"/>
  <c r="E3302" l="1"/>
  <c r="E3301"/>
  <c r="D3259"/>
  <c r="D3260" s="1"/>
  <c r="D3261" s="1"/>
  <c r="E3248"/>
  <c r="E3194"/>
  <c r="D3262" l="1"/>
  <c r="D3263" s="1"/>
  <c r="D3264" s="1"/>
  <c r="D3265" s="1"/>
  <c r="D3266" s="1"/>
  <c r="D3267" s="1"/>
  <c r="D3268" s="1"/>
  <c r="D3269" s="1"/>
  <c r="D3270" s="1"/>
  <c r="D3271" s="1"/>
  <c r="D3272" s="1"/>
  <c r="D3273" s="1"/>
  <c r="D3274" s="1"/>
  <c r="D3275" s="1"/>
  <c r="D3276" s="1"/>
  <c r="D3277" s="1"/>
  <c r="D3278" s="1"/>
  <c r="D3279" s="1"/>
  <c r="D3280" s="1"/>
  <c r="D3281" s="1"/>
  <c r="D3282" s="1"/>
  <c r="D3283" s="1"/>
  <c r="D3284" s="1"/>
  <c r="D3285" s="1"/>
  <c r="D3286" s="1"/>
  <c r="D3287" s="1"/>
  <c r="D3288" s="1"/>
  <c r="D3289" s="1"/>
  <c r="D3290" s="1"/>
  <c r="D3291" s="1"/>
  <c r="D3292" s="1"/>
  <c r="D3293" s="1"/>
  <c r="D3294" s="1"/>
  <c r="D3295" s="1"/>
  <c r="D3296" s="1"/>
  <c r="D3297" s="1"/>
  <c r="E3195" l="1"/>
  <c r="E3249"/>
  <c r="E3141"/>
  <c r="E3140"/>
  <c r="F3048" l="1"/>
  <c r="D3048" s="1"/>
  <c r="F3047"/>
  <c r="D3047" s="1"/>
  <c r="J3046"/>
  <c r="D3046"/>
  <c r="J3045"/>
  <c r="D3045"/>
  <c r="F3043"/>
  <c r="D3043" s="1"/>
  <c r="F3042"/>
  <c r="D3042" s="1"/>
  <c r="I3041"/>
  <c r="H3041"/>
  <c r="H3043" s="1"/>
  <c r="F3041"/>
  <c r="D3041" s="1"/>
  <c r="I3040"/>
  <c r="H3040"/>
  <c r="H3042" s="1"/>
  <c r="F3040"/>
  <c r="D3040" s="1"/>
  <c r="P3038"/>
  <c r="O3038"/>
  <c r="D3038"/>
  <c r="G3036"/>
  <c r="F3033"/>
  <c r="D3033" s="1"/>
  <c r="F3032"/>
  <c r="D3032" s="1"/>
  <c r="O3023"/>
  <c r="T2749" l="1"/>
  <c r="T2743"/>
  <c r="T2747"/>
  <c r="T2741"/>
  <c r="F2759" l="1"/>
  <c r="D2759" s="1"/>
  <c r="F2758"/>
  <c r="D2758" s="1"/>
  <c r="F2755"/>
  <c r="D2755" s="1"/>
  <c r="H2754"/>
  <c r="F2754"/>
  <c r="D2754" s="1"/>
  <c r="H2753"/>
  <c r="F2753"/>
  <c r="D2753" s="1"/>
  <c r="H2752"/>
  <c r="F2752"/>
  <c r="D2752" s="1"/>
  <c r="J2751"/>
  <c r="J2750"/>
  <c r="L2750" s="1"/>
  <c r="G2750"/>
  <c r="F2748"/>
  <c r="D2748" s="1"/>
  <c r="F2747"/>
  <c r="D2747" s="1"/>
  <c r="D2746"/>
  <c r="T2745"/>
  <c r="D2745"/>
  <c r="T2744"/>
  <c r="N2744" s="1"/>
  <c r="F2742"/>
  <c r="D2742" s="1"/>
  <c r="F2741"/>
  <c r="D2741" s="1"/>
  <c r="G2740"/>
  <c r="I2740" s="1"/>
  <c r="I2742" s="1"/>
  <c r="D2740"/>
  <c r="T2739"/>
  <c r="J2739"/>
  <c r="H2739" s="1"/>
  <c r="H2741" s="1"/>
  <c r="H2758" s="1"/>
  <c r="D2739"/>
  <c r="T2738"/>
  <c r="N2738" s="1"/>
  <c r="J2738"/>
  <c r="H2744" s="1"/>
  <c r="I2738"/>
  <c r="K2750" s="1"/>
  <c r="G2733"/>
  <c r="O2729"/>
  <c r="J2740" l="1"/>
  <c r="H2740" s="1"/>
  <c r="H2742" s="1"/>
  <c r="J2744"/>
  <c r="J2746" s="1"/>
  <c r="H2746" s="1"/>
  <c r="H2748" s="1"/>
  <c r="J2745"/>
  <c r="H2745" s="1"/>
  <c r="H2747" s="1"/>
  <c r="H2759" s="1"/>
  <c r="I2752"/>
  <c r="I2739"/>
  <c r="G2744"/>
  <c r="G2751"/>
  <c r="G2746" l="1"/>
  <c r="I2746" s="1"/>
  <c r="I2748" s="1"/>
  <c r="I2744"/>
  <c r="G2739"/>
  <c r="I2741"/>
  <c r="I2758" s="1"/>
  <c r="I2745" l="1"/>
  <c r="I2750"/>
  <c r="I2725"/>
  <c r="F2725"/>
  <c r="D2725" s="1"/>
  <c r="F2724"/>
  <c r="D2724" s="1"/>
  <c r="F2723"/>
  <c r="D2723" s="1"/>
  <c r="F2720"/>
  <c r="D2720" s="1"/>
  <c r="I2705"/>
  <c r="I2706"/>
  <c r="H2706"/>
  <c r="J2705" s="1"/>
  <c r="F2706"/>
  <c r="D2706" s="1"/>
  <c r="F2704"/>
  <c r="D2704" s="1"/>
  <c r="F2703"/>
  <c r="D2703" s="1"/>
  <c r="F2701"/>
  <c r="D2701" s="1"/>
  <c r="F2700"/>
  <c r="D2700" s="1"/>
  <c r="J2697"/>
  <c r="I2697"/>
  <c r="K2697" s="1"/>
  <c r="H2697"/>
  <c r="J2693"/>
  <c r="L2693" s="1"/>
  <c r="G2693"/>
  <c r="F2691"/>
  <c r="L2697" s="1"/>
  <c r="I2690"/>
  <c r="I2691" s="1"/>
  <c r="I2693" s="1"/>
  <c r="I2689"/>
  <c r="G2690" s="1"/>
  <c r="G2691" s="1"/>
  <c r="H2689"/>
  <c r="H2690" s="1"/>
  <c r="G2689"/>
  <c r="K2693" s="1"/>
  <c r="F2689"/>
  <c r="F2690" s="1"/>
  <c r="H2691" s="1"/>
  <c r="G2677"/>
  <c r="O2671"/>
  <c r="G2745" l="1"/>
  <c r="I2747"/>
  <c r="I2759" s="1"/>
  <c r="I2751"/>
  <c r="I2754" s="1"/>
  <c r="I2753"/>
  <c r="F2477" l="1"/>
  <c r="D2477" s="1"/>
  <c r="D2476"/>
  <c r="G2475"/>
  <c r="G2476" s="1"/>
  <c r="I2476" s="1"/>
  <c r="D2475"/>
  <c r="F2474"/>
  <c r="D2474" s="1"/>
  <c r="D2473"/>
  <c r="G2472"/>
  <c r="G2473" s="1"/>
  <c r="I2473" s="1"/>
  <c r="D2472"/>
  <c r="F2471"/>
  <c r="D2471" s="1"/>
  <c r="I2470"/>
  <c r="I2471" s="1"/>
  <c r="H2470"/>
  <c r="H2471" s="1"/>
  <c r="F2470"/>
  <c r="D2470" s="1"/>
  <c r="F2469"/>
  <c r="D2469" s="1"/>
  <c r="G2468"/>
  <c r="F2468" s="1"/>
  <c r="D2468" s="1"/>
  <c r="D2467"/>
  <c r="D2466"/>
  <c r="F2463"/>
  <c r="D2463" s="1"/>
  <c r="I2462"/>
  <c r="I2463" s="1"/>
  <c r="F2462"/>
  <c r="D2462" s="1"/>
  <c r="D2461"/>
  <c r="D2460"/>
  <c r="G2459"/>
  <c r="I2459" s="1"/>
  <c r="K2459" s="1"/>
  <c r="M2459" s="1"/>
  <c r="D2459"/>
  <c r="D2458"/>
  <c r="I2457"/>
  <c r="G2457"/>
  <c r="G2458" s="1"/>
  <c r="I2458" s="1"/>
  <c r="K2458" s="1"/>
  <c r="C2457"/>
  <c r="H2475" s="1"/>
  <c r="G2455"/>
  <c r="G2456" s="1"/>
  <c r="F2456" s="1"/>
  <c r="D2456" s="1"/>
  <c r="D2454"/>
  <c r="D2453"/>
  <c r="I2451"/>
  <c r="G2453" s="1"/>
  <c r="G2451"/>
  <c r="G2464" s="1"/>
  <c r="I2464" s="1"/>
  <c r="G2466" s="1"/>
  <c r="F2451"/>
  <c r="H2453" s="1"/>
  <c r="J2453" s="1"/>
  <c r="H2455" s="1"/>
  <c r="H2456" s="1"/>
  <c r="F2450"/>
  <c r="D2450" s="1"/>
  <c r="F2448"/>
  <c r="D2448" s="1"/>
  <c r="F2447"/>
  <c r="D2447" s="1"/>
  <c r="F2446"/>
  <c r="D2446" s="1"/>
  <c r="F2445"/>
  <c r="D2445" s="1"/>
  <c r="H2444"/>
  <c r="H2446" s="1"/>
  <c r="H2447" s="1"/>
  <c r="D2444"/>
  <c r="I2443"/>
  <c r="I2444" s="1"/>
  <c r="H2443"/>
  <c r="H2445" s="1"/>
  <c r="G2443"/>
  <c r="G2444" s="1"/>
  <c r="D2443"/>
  <c r="F2442"/>
  <c r="D2442" s="1"/>
  <c r="F2441"/>
  <c r="D2441" s="1"/>
  <c r="H2440"/>
  <c r="J2440" s="1"/>
  <c r="H2441" s="1"/>
  <c r="G2440"/>
  <c r="I2440" s="1"/>
  <c r="J2439"/>
  <c r="H2439"/>
  <c r="H2442" s="1"/>
  <c r="G2439"/>
  <c r="I2439" s="1"/>
  <c r="I2442" s="1"/>
  <c r="F2438"/>
  <c r="D2438" s="1"/>
  <c r="H2437"/>
  <c r="J2437" s="1"/>
  <c r="H2438" s="1"/>
  <c r="D2437"/>
  <c r="F2436"/>
  <c r="D2436" s="1"/>
  <c r="D2435"/>
  <c r="G2434"/>
  <c r="I2436" s="1"/>
  <c r="D2434"/>
  <c r="F2433"/>
  <c r="D2433" s="1"/>
  <c r="D2432"/>
  <c r="G2431"/>
  <c r="I2433" s="1"/>
  <c r="D2431"/>
  <c r="F2430"/>
  <c r="D2430" s="1"/>
  <c r="I2429"/>
  <c r="I2430" s="1"/>
  <c r="H2429"/>
  <c r="H2430" s="1"/>
  <c r="F2429"/>
  <c r="D2429" s="1"/>
  <c r="F2428"/>
  <c r="D2428" s="1"/>
  <c r="G2427"/>
  <c r="F2427" s="1"/>
  <c r="D2427" s="1"/>
  <c r="D2426"/>
  <c r="D2425"/>
  <c r="F2422"/>
  <c r="D2422" s="1"/>
  <c r="I2421"/>
  <c r="I2422" s="1"/>
  <c r="F2421"/>
  <c r="D2421" s="1"/>
  <c r="D2420"/>
  <c r="D2419"/>
  <c r="G2418"/>
  <c r="I2418" s="1"/>
  <c r="K2418" s="1"/>
  <c r="M2418" s="1"/>
  <c r="D2418"/>
  <c r="D2417"/>
  <c r="I2416"/>
  <c r="G2416"/>
  <c r="G2417" s="1"/>
  <c r="I2417" s="1"/>
  <c r="K2417" s="1"/>
  <c r="C2416"/>
  <c r="H2422" s="1"/>
  <c r="G2414"/>
  <c r="G2415" s="1"/>
  <c r="F2415" s="1"/>
  <c r="D2415" s="1"/>
  <c r="D2413"/>
  <c r="D2412"/>
  <c r="I2410"/>
  <c r="G2412" s="1"/>
  <c r="G2410"/>
  <c r="G2423" s="1"/>
  <c r="I2423" s="1"/>
  <c r="G2425" s="1"/>
  <c r="F2410"/>
  <c r="F2423" s="1"/>
  <c r="H2425" s="1"/>
  <c r="J2425" s="1"/>
  <c r="H2427" s="1"/>
  <c r="H2428" s="1"/>
  <c r="F2409"/>
  <c r="D2409" s="1"/>
  <c r="F2407"/>
  <c r="D2407" s="1"/>
  <c r="F2406"/>
  <c r="D2406" s="1"/>
  <c r="F2405"/>
  <c r="D2405" s="1"/>
  <c r="F2404"/>
  <c r="D2404" s="1"/>
  <c r="H2403"/>
  <c r="J2403" s="1"/>
  <c r="D2403"/>
  <c r="I2402"/>
  <c r="I2403" s="1"/>
  <c r="H2402"/>
  <c r="H2404" s="1"/>
  <c r="G2402"/>
  <c r="I2404" s="1"/>
  <c r="I2405" s="1"/>
  <c r="I2406" s="1"/>
  <c r="I2407" s="1"/>
  <c r="D2402"/>
  <c r="F2401"/>
  <c r="D2401" s="1"/>
  <c r="F2400"/>
  <c r="D2400" s="1"/>
  <c r="H2399"/>
  <c r="J2399" s="1"/>
  <c r="H2400" s="1"/>
  <c r="G2399"/>
  <c r="I2400" s="1"/>
  <c r="J2398"/>
  <c r="H2398"/>
  <c r="H2401" s="1"/>
  <c r="G2398"/>
  <c r="I2398" s="1"/>
  <c r="I2401" s="1"/>
  <c r="F2397"/>
  <c r="D2397" s="1"/>
  <c r="D2396"/>
  <c r="F2395"/>
  <c r="D2395" s="1"/>
  <c r="D2394"/>
  <c r="G2393"/>
  <c r="G2394" s="1"/>
  <c r="D2393"/>
  <c r="F2392"/>
  <c r="D2392" s="1"/>
  <c r="I2391"/>
  <c r="I2392" s="1"/>
  <c r="H2391"/>
  <c r="H2392" s="1"/>
  <c r="F2391"/>
  <c r="D2391" s="1"/>
  <c r="D2390"/>
  <c r="D2389"/>
  <c r="F2386"/>
  <c r="D2386" s="1"/>
  <c r="I2385"/>
  <c r="I2386" s="1"/>
  <c r="F2385"/>
  <c r="D2385" s="1"/>
  <c r="D2384"/>
  <c r="D2383"/>
  <c r="G2382"/>
  <c r="I2382" s="1"/>
  <c r="K2382" s="1"/>
  <c r="M2382" s="1"/>
  <c r="D2382"/>
  <c r="D2381"/>
  <c r="I2380"/>
  <c r="G2380"/>
  <c r="G2381" s="1"/>
  <c r="I2381" s="1"/>
  <c r="K2381" s="1"/>
  <c r="C2380"/>
  <c r="H2393" s="1"/>
  <c r="G2378"/>
  <c r="G2379" s="1"/>
  <c r="F2379" s="1"/>
  <c r="D2379" s="1"/>
  <c r="D2377"/>
  <c r="D2376"/>
  <c r="I2374"/>
  <c r="G2376" s="1"/>
  <c r="G2374"/>
  <c r="G2387" s="1"/>
  <c r="I2387" s="1"/>
  <c r="G2389" s="1"/>
  <c r="I2389" s="1"/>
  <c r="F2374"/>
  <c r="F2387" s="1"/>
  <c r="H2389" s="1"/>
  <c r="J2389" s="1"/>
  <c r="F2373"/>
  <c r="D2373" s="1"/>
  <c r="F2372"/>
  <c r="D2372" s="1"/>
  <c r="F2370"/>
  <c r="D2370" s="1"/>
  <c r="F2369"/>
  <c r="D2369" s="1"/>
  <c r="F2368"/>
  <c r="D2368" s="1"/>
  <c r="H2367"/>
  <c r="J2367" s="1"/>
  <c r="D2367"/>
  <c r="I2366"/>
  <c r="I2367" s="1"/>
  <c r="H2366"/>
  <c r="H2368" s="1"/>
  <c r="G2366"/>
  <c r="I2368" s="1"/>
  <c r="I2369" s="1"/>
  <c r="I2370" s="1"/>
  <c r="D2366"/>
  <c r="F2365"/>
  <c r="D2365" s="1"/>
  <c r="F2364"/>
  <c r="D2364" s="1"/>
  <c r="H2363"/>
  <c r="J2363" s="1"/>
  <c r="H2364" s="1"/>
  <c r="G2363"/>
  <c r="I2364" s="1"/>
  <c r="J2362"/>
  <c r="H2362"/>
  <c r="H2365" s="1"/>
  <c r="G2362"/>
  <c r="I2362" s="1"/>
  <c r="I2365" s="1"/>
  <c r="F2361"/>
  <c r="D2361" s="1"/>
  <c r="D2360"/>
  <c r="G2359"/>
  <c r="I2361" s="1"/>
  <c r="D2359"/>
  <c r="F2358"/>
  <c r="D2358" s="1"/>
  <c r="I2357"/>
  <c r="I2358" s="1"/>
  <c r="H2357"/>
  <c r="H2358" s="1"/>
  <c r="F2357"/>
  <c r="D2357" s="1"/>
  <c r="G2355"/>
  <c r="D2354"/>
  <c r="D2353"/>
  <c r="F2350"/>
  <c r="D2350" s="1"/>
  <c r="I2349"/>
  <c r="I2350" s="1"/>
  <c r="F2349"/>
  <c r="D2349" s="1"/>
  <c r="D2348"/>
  <c r="D2347"/>
  <c r="G2346"/>
  <c r="I2346" s="1"/>
  <c r="K2346" s="1"/>
  <c r="M2346" s="1"/>
  <c r="D2346"/>
  <c r="D2345"/>
  <c r="I2344"/>
  <c r="G2344"/>
  <c r="G2345" s="1"/>
  <c r="I2345" s="1"/>
  <c r="K2345" s="1"/>
  <c r="C2344"/>
  <c r="H2346" s="1"/>
  <c r="G2342"/>
  <c r="F2342" s="1"/>
  <c r="D2342" s="1"/>
  <c r="D2341"/>
  <c r="D2340"/>
  <c r="I2338"/>
  <c r="G2339" s="1"/>
  <c r="G2338"/>
  <c r="G2351" s="1"/>
  <c r="I2351" s="1"/>
  <c r="G2353" s="1"/>
  <c r="I2353" s="1"/>
  <c r="F2338"/>
  <c r="H2340" s="1"/>
  <c r="J2340" s="1"/>
  <c r="H2342" s="1"/>
  <c r="H2343" s="1"/>
  <c r="F2337"/>
  <c r="D2337" s="1"/>
  <c r="F2335"/>
  <c r="D2335" s="1"/>
  <c r="F2334"/>
  <c r="D2334" s="1"/>
  <c r="F2333"/>
  <c r="D2333" s="1"/>
  <c r="F2332"/>
  <c r="D2332" s="1"/>
  <c r="H2331"/>
  <c r="H2333" s="1"/>
  <c r="H2334" s="1"/>
  <c r="D2331"/>
  <c r="I2330"/>
  <c r="I2331" s="1"/>
  <c r="H2330"/>
  <c r="H2332" s="1"/>
  <c r="G2330"/>
  <c r="I2332" s="1"/>
  <c r="I2333" s="1"/>
  <c r="I2334" s="1"/>
  <c r="I2335" s="1"/>
  <c r="D2330"/>
  <c r="F2329"/>
  <c r="D2329" s="1"/>
  <c r="F2328"/>
  <c r="D2328" s="1"/>
  <c r="H2327"/>
  <c r="J2327" s="1"/>
  <c r="H2328" s="1"/>
  <c r="G2327"/>
  <c r="I2328" s="1"/>
  <c r="J2326"/>
  <c r="H2326"/>
  <c r="H2329" s="1"/>
  <c r="G2326"/>
  <c r="I2326" s="1"/>
  <c r="I2329" s="1"/>
  <c r="F2325"/>
  <c r="D2325" s="1"/>
  <c r="D2324"/>
  <c r="G2323"/>
  <c r="I2325" s="1"/>
  <c r="D2323"/>
  <c r="F2322"/>
  <c r="D2322" s="1"/>
  <c r="I2321"/>
  <c r="I2322" s="1"/>
  <c r="H2321"/>
  <c r="H2322" s="1"/>
  <c r="F2321"/>
  <c r="D2321" s="1"/>
  <c r="G2319"/>
  <c r="G2320" s="1"/>
  <c r="F2320" s="1"/>
  <c r="D2320" s="1"/>
  <c r="D2318"/>
  <c r="D2317"/>
  <c r="F2314"/>
  <c r="D2314" s="1"/>
  <c r="I2313"/>
  <c r="I2314" s="1"/>
  <c r="F2313"/>
  <c r="D2313" s="1"/>
  <c r="D2312"/>
  <c r="D2311"/>
  <c r="G2310"/>
  <c r="I2310" s="1"/>
  <c r="K2310" s="1"/>
  <c r="M2310" s="1"/>
  <c r="D2310"/>
  <c r="D2309"/>
  <c r="I2308"/>
  <c r="G2308"/>
  <c r="G2309" s="1"/>
  <c r="I2309" s="1"/>
  <c r="K2309" s="1"/>
  <c r="C2308"/>
  <c r="H2310" s="1"/>
  <c r="G2306"/>
  <c r="G2307" s="1"/>
  <c r="F2307" s="1"/>
  <c r="D2307" s="1"/>
  <c r="D2305"/>
  <c r="D2304"/>
  <c r="I2302"/>
  <c r="G2304" s="1"/>
  <c r="G2302"/>
  <c r="G2315" s="1"/>
  <c r="I2315" s="1"/>
  <c r="G2317" s="1"/>
  <c r="F2302"/>
  <c r="H2304" s="1"/>
  <c r="J2304" s="1"/>
  <c r="H2306" s="1"/>
  <c r="H2307" s="1"/>
  <c r="F2301"/>
  <c r="D2301" s="1"/>
  <c r="F2299"/>
  <c r="D2299" s="1"/>
  <c r="F2298"/>
  <c r="D2298" s="1"/>
  <c r="F2297"/>
  <c r="D2297" s="1"/>
  <c r="F2296"/>
  <c r="D2296" s="1"/>
  <c r="H2295"/>
  <c r="H2297" s="1"/>
  <c r="H2298" s="1"/>
  <c r="D2295"/>
  <c r="I2294"/>
  <c r="I2295" s="1"/>
  <c r="H2294"/>
  <c r="H2296" s="1"/>
  <c r="G2294"/>
  <c r="G2295" s="1"/>
  <c r="D2294"/>
  <c r="F2293"/>
  <c r="D2293" s="1"/>
  <c r="F2292"/>
  <c r="D2292" s="1"/>
  <c r="H2291"/>
  <c r="J2291" s="1"/>
  <c r="H2292" s="1"/>
  <c r="G2291"/>
  <c r="I2291" s="1"/>
  <c r="J2290"/>
  <c r="H2290"/>
  <c r="H2293" s="1"/>
  <c r="G2290"/>
  <c r="I2290" s="1"/>
  <c r="I2293" s="1"/>
  <c r="F2289"/>
  <c r="D2289" s="1"/>
  <c r="I2288"/>
  <c r="I2289" s="1"/>
  <c r="H2288"/>
  <c r="H2289" s="1"/>
  <c r="F2288"/>
  <c r="D2288" s="1"/>
  <c r="G2286"/>
  <c r="G2287" s="1"/>
  <c r="F2287" s="1"/>
  <c r="D2287" s="1"/>
  <c r="D2285"/>
  <c r="D2284"/>
  <c r="F2281"/>
  <c r="D2281" s="1"/>
  <c r="I2280"/>
  <c r="I2281" s="1"/>
  <c r="F2280"/>
  <c r="D2280" s="1"/>
  <c r="D2279"/>
  <c r="D2278"/>
  <c r="G2277"/>
  <c r="I2277" s="1"/>
  <c r="K2277" s="1"/>
  <c r="M2277" s="1"/>
  <c r="D2277"/>
  <c r="D2276"/>
  <c r="I2275"/>
  <c r="G2275"/>
  <c r="G2276" s="1"/>
  <c r="I2276" s="1"/>
  <c r="K2276" s="1"/>
  <c r="C2275"/>
  <c r="H2281" s="1"/>
  <c r="G2273"/>
  <c r="G2274" s="1"/>
  <c r="F2274" s="1"/>
  <c r="D2274" s="1"/>
  <c r="D2272"/>
  <c r="D2271"/>
  <c r="I2269"/>
  <c r="G2271" s="1"/>
  <c r="G2269"/>
  <c r="G2282" s="1"/>
  <c r="I2282" s="1"/>
  <c r="G2284" s="1"/>
  <c r="F2269"/>
  <c r="F2282" s="1"/>
  <c r="H2284" s="1"/>
  <c r="J2284" s="1"/>
  <c r="H2286" s="1"/>
  <c r="H2287" s="1"/>
  <c r="F2268"/>
  <c r="D2268" s="1"/>
  <c r="F2266"/>
  <c r="D2266" s="1"/>
  <c r="F2265"/>
  <c r="D2265" s="1"/>
  <c r="F2264"/>
  <c r="D2264" s="1"/>
  <c r="F2263"/>
  <c r="D2263" s="1"/>
  <c r="H2262"/>
  <c r="J2262" s="1"/>
  <c r="D2262"/>
  <c r="I2261"/>
  <c r="I2262" s="1"/>
  <c r="H2261"/>
  <c r="H2263" s="1"/>
  <c r="G2261"/>
  <c r="I2263" s="1"/>
  <c r="I2264" s="1"/>
  <c r="I2265" s="1"/>
  <c r="I2266" s="1"/>
  <c r="D2261"/>
  <c r="F2260"/>
  <c r="D2260" s="1"/>
  <c r="F2259"/>
  <c r="D2259" s="1"/>
  <c r="H2258"/>
  <c r="J2258" s="1"/>
  <c r="H2259" s="1"/>
  <c r="G2258"/>
  <c r="I2259" s="1"/>
  <c r="J2257"/>
  <c r="H2257"/>
  <c r="H2260" s="1"/>
  <c r="G2257"/>
  <c r="I2257" s="1"/>
  <c r="I2260" s="1"/>
  <c r="G2253"/>
  <c r="G2251"/>
  <c r="F2286" l="1"/>
  <c r="D2286" s="1"/>
  <c r="I2441"/>
  <c r="F2455"/>
  <c r="D2455" s="1"/>
  <c r="G2262"/>
  <c r="I2292"/>
  <c r="F2306"/>
  <c r="D2306" s="1"/>
  <c r="F2315"/>
  <c r="H2317" s="1"/>
  <c r="J2317" s="1"/>
  <c r="H2319" s="1"/>
  <c r="H2320" s="1"/>
  <c r="H2323"/>
  <c r="H2324" s="1"/>
  <c r="G2324"/>
  <c r="I2324" s="1"/>
  <c r="G2331"/>
  <c r="G2343"/>
  <c r="F2343" s="1"/>
  <c r="D2343" s="1"/>
  <c r="F2351"/>
  <c r="H2353" s="1"/>
  <c r="J2353" s="1"/>
  <c r="H2355" s="1"/>
  <c r="H2356" s="1"/>
  <c r="I2355"/>
  <c r="H2369"/>
  <c r="H2370" s="1"/>
  <c r="H2372" s="1"/>
  <c r="H2371" s="1"/>
  <c r="F2371" s="1"/>
  <c r="G2403"/>
  <c r="G2432"/>
  <c r="I2432" s="1"/>
  <c r="G2435"/>
  <c r="G2437" s="1"/>
  <c r="I2438" s="1"/>
  <c r="H2264"/>
  <c r="H2265" s="1"/>
  <c r="H2268" s="1"/>
  <c r="H2267" s="1"/>
  <c r="F2267" s="1"/>
  <c r="H2309"/>
  <c r="J2309" s="1"/>
  <c r="L2309" s="1"/>
  <c r="H2311"/>
  <c r="H2312" s="1"/>
  <c r="H2313"/>
  <c r="H2314"/>
  <c r="H2345"/>
  <c r="J2345" s="1"/>
  <c r="L2345" s="1"/>
  <c r="H2347"/>
  <c r="H2348" s="1"/>
  <c r="H2349"/>
  <c r="H2350"/>
  <c r="H2359"/>
  <c r="H2361" s="1"/>
  <c r="G2360"/>
  <c r="I2360" s="1"/>
  <c r="G2367"/>
  <c r="H2405"/>
  <c r="H2406" s="1"/>
  <c r="H2409" s="1"/>
  <c r="H2408" s="1"/>
  <c r="F2408" s="1"/>
  <c r="H2458"/>
  <c r="J2458" s="1"/>
  <c r="L2458" s="1"/>
  <c r="H2460"/>
  <c r="H2461" s="1"/>
  <c r="H2462"/>
  <c r="I2268"/>
  <c r="I2267"/>
  <c r="G2267" s="1"/>
  <c r="I2271"/>
  <c r="I2278" s="1"/>
  <c r="G2278"/>
  <c r="G2279" s="1"/>
  <c r="I2279" s="1"/>
  <c r="I2273"/>
  <c r="I2286"/>
  <c r="I2284"/>
  <c r="I2317"/>
  <c r="I2319"/>
  <c r="I2337"/>
  <c r="I2336"/>
  <c r="G2336" s="1"/>
  <c r="G2352"/>
  <c r="I2352" s="1"/>
  <c r="G2354" s="1"/>
  <c r="I2339"/>
  <c r="G2341" s="1"/>
  <c r="H2301"/>
  <c r="H2300" s="1"/>
  <c r="F2300" s="1"/>
  <c r="H2299"/>
  <c r="G2311"/>
  <c r="G2312" s="1"/>
  <c r="I2312" s="1"/>
  <c r="I2306"/>
  <c r="I2304"/>
  <c r="I2311" s="1"/>
  <c r="L2310"/>
  <c r="J2310"/>
  <c r="N2310" s="1"/>
  <c r="I2373"/>
  <c r="I2372"/>
  <c r="I2371"/>
  <c r="G2371" s="1"/>
  <c r="I2376"/>
  <c r="I2383" s="1"/>
  <c r="G2383"/>
  <c r="G2384" s="1"/>
  <c r="I2384" s="1"/>
  <c r="I2378"/>
  <c r="H2395"/>
  <c r="L2393"/>
  <c r="J2393"/>
  <c r="H2394"/>
  <c r="I2394"/>
  <c r="G2396"/>
  <c r="H2450"/>
  <c r="H2449" s="1"/>
  <c r="F2449" s="1"/>
  <c r="H2448"/>
  <c r="G2460"/>
  <c r="G2461" s="1"/>
  <c r="I2461" s="1"/>
  <c r="I2455"/>
  <c r="I2453"/>
  <c r="I2460" s="1"/>
  <c r="H2477"/>
  <c r="L2475"/>
  <c r="J2475"/>
  <c r="H2476"/>
  <c r="H2337"/>
  <c r="H2336" s="1"/>
  <c r="F2336" s="1"/>
  <c r="H2335"/>
  <c r="L2346"/>
  <c r="J2346"/>
  <c r="N2346" s="1"/>
  <c r="G2356"/>
  <c r="F2356" s="1"/>
  <c r="D2356" s="1"/>
  <c r="F2355"/>
  <c r="D2355" s="1"/>
  <c r="I2409"/>
  <c r="I2408"/>
  <c r="G2408" s="1"/>
  <c r="I2412"/>
  <c r="I2419" s="1"/>
  <c r="G2419"/>
  <c r="G2420" s="1"/>
  <c r="I2420" s="1"/>
  <c r="I2414"/>
  <c r="I2427"/>
  <c r="I2425"/>
  <c r="I2437"/>
  <c r="I2466"/>
  <c r="I2468"/>
  <c r="I2258"/>
  <c r="J2261"/>
  <c r="H2269"/>
  <c r="H2282" s="1"/>
  <c r="F2270"/>
  <c r="H2271"/>
  <c r="J2271" s="1"/>
  <c r="H2273" s="1"/>
  <c r="H2274" s="1"/>
  <c r="H2275"/>
  <c r="J2275" s="1"/>
  <c r="H2277"/>
  <c r="J2295"/>
  <c r="I2296"/>
  <c r="I2297" s="1"/>
  <c r="I2298" s="1"/>
  <c r="I2299" s="1"/>
  <c r="G2303"/>
  <c r="I2327"/>
  <c r="J2330"/>
  <c r="G2340"/>
  <c r="G2270"/>
  <c r="F2273"/>
  <c r="D2273" s="1"/>
  <c r="H2276"/>
  <c r="J2276" s="1"/>
  <c r="L2276" s="1"/>
  <c r="H2278"/>
  <c r="H2280"/>
  <c r="J2294"/>
  <c r="H2302"/>
  <c r="H2315" s="1"/>
  <c r="F2303"/>
  <c r="H2308"/>
  <c r="J2308" s="1"/>
  <c r="F2319"/>
  <c r="D2319" s="1"/>
  <c r="I2323"/>
  <c r="K2323" s="1"/>
  <c r="M2323" s="1"/>
  <c r="J2331"/>
  <c r="I2363"/>
  <c r="J2366"/>
  <c r="H2374"/>
  <c r="H2387" s="1"/>
  <c r="F2375"/>
  <c r="H2376"/>
  <c r="H2380"/>
  <c r="J2380" s="1"/>
  <c r="H2382"/>
  <c r="I2393"/>
  <c r="K2393" s="1"/>
  <c r="M2393" s="1"/>
  <c r="I2395"/>
  <c r="I2399"/>
  <c r="J2402"/>
  <c r="H2410"/>
  <c r="H2423" s="1"/>
  <c r="F2411"/>
  <c r="H2412"/>
  <c r="J2412" s="1"/>
  <c r="H2414" s="1"/>
  <c r="H2415" s="1"/>
  <c r="H2416"/>
  <c r="J2416" s="1"/>
  <c r="H2418"/>
  <c r="H2431"/>
  <c r="H2434"/>
  <c r="J2444"/>
  <c r="I2445"/>
  <c r="I2446" s="1"/>
  <c r="I2447" s="1"/>
  <c r="I2448" s="1"/>
  <c r="G2452"/>
  <c r="H2463"/>
  <c r="F2464"/>
  <c r="H2466" s="1"/>
  <c r="J2466" s="1"/>
  <c r="H2468" s="1"/>
  <c r="H2469" s="1"/>
  <c r="I2472"/>
  <c r="K2472" s="1"/>
  <c r="M2472" s="1"/>
  <c r="I2474"/>
  <c r="I2475"/>
  <c r="K2475" s="1"/>
  <c r="M2475" s="1"/>
  <c r="I2477"/>
  <c r="H2338"/>
  <c r="H2351" s="1"/>
  <c r="F2339"/>
  <c r="H2344"/>
  <c r="J2344" s="1"/>
  <c r="I2359"/>
  <c r="K2359" s="1"/>
  <c r="M2359" s="1"/>
  <c r="G2375"/>
  <c r="F2378"/>
  <c r="D2378" s="1"/>
  <c r="H2381"/>
  <c r="J2381" s="1"/>
  <c r="L2381" s="1"/>
  <c r="H2383"/>
  <c r="H2385"/>
  <c r="H2386"/>
  <c r="G2411"/>
  <c r="F2414"/>
  <c r="D2414" s="1"/>
  <c r="H2417"/>
  <c r="J2417" s="1"/>
  <c r="L2417" s="1"/>
  <c r="H2419"/>
  <c r="H2421"/>
  <c r="I2431"/>
  <c r="K2431" s="1"/>
  <c r="M2431" s="1"/>
  <c r="I2434"/>
  <c r="K2434" s="1"/>
  <c r="M2434" s="1"/>
  <c r="J2443"/>
  <c r="H2451"/>
  <c r="H2464" s="1"/>
  <c r="F2452"/>
  <c r="H2457"/>
  <c r="J2457" s="1"/>
  <c r="H2459"/>
  <c r="H2472"/>
  <c r="H2244"/>
  <c r="F2244"/>
  <c r="D2244" s="1"/>
  <c r="J2243"/>
  <c r="I2243"/>
  <c r="G2243"/>
  <c r="I2244" s="1"/>
  <c r="H2243"/>
  <c r="I2241"/>
  <c r="H2241"/>
  <c r="F2241"/>
  <c r="D2241" s="1"/>
  <c r="H2240"/>
  <c r="F2240"/>
  <c r="D2240" s="1"/>
  <c r="F2239"/>
  <c r="D2239" s="1"/>
  <c r="H2238"/>
  <c r="H2237"/>
  <c r="I2238" s="1"/>
  <c r="F2237"/>
  <c r="D2237" s="1"/>
  <c r="H2236"/>
  <c r="J2238" s="1"/>
  <c r="F2236"/>
  <c r="D2236" s="1"/>
  <c r="F2235"/>
  <c r="D2235" s="1"/>
  <c r="H2234"/>
  <c r="H2235" s="1"/>
  <c r="G2233"/>
  <c r="F2233"/>
  <c r="H2232"/>
  <c r="H2233" s="1"/>
  <c r="F2232"/>
  <c r="L2227"/>
  <c r="N2227" s="1"/>
  <c r="H2227"/>
  <c r="H2228" s="1"/>
  <c r="L2224"/>
  <c r="J2224"/>
  <c r="J2230" s="1"/>
  <c r="H2224"/>
  <c r="H2230" s="1"/>
  <c r="G2224"/>
  <c r="G2230" s="1"/>
  <c r="I2230" s="1"/>
  <c r="K2223"/>
  <c r="H2223"/>
  <c r="H2229" s="1"/>
  <c r="J2229" s="1"/>
  <c r="G2223"/>
  <c r="G2229" s="1"/>
  <c r="A2223"/>
  <c r="I2223" s="1"/>
  <c r="I2229" s="1"/>
  <c r="J2222"/>
  <c r="H2222"/>
  <c r="G2222"/>
  <c r="J2221"/>
  <c r="H2221"/>
  <c r="G2221"/>
  <c r="I2221" s="1"/>
  <c r="A2221"/>
  <c r="G2226" s="1"/>
  <c r="I2226" s="1"/>
  <c r="F2220"/>
  <c r="D2220" s="1"/>
  <c r="V2205"/>
  <c r="T2205"/>
  <c r="P2205"/>
  <c r="O2205"/>
  <c r="G2210" s="1"/>
  <c r="L2205"/>
  <c r="H2205"/>
  <c r="G2205"/>
  <c r="D2205"/>
  <c r="G2198"/>
  <c r="O2193"/>
  <c r="J2323" l="1"/>
  <c r="J2359"/>
  <c r="I2216"/>
  <c r="I2210"/>
  <c r="R2205"/>
  <c r="F2211" s="1"/>
  <c r="F2212"/>
  <c r="J2205"/>
  <c r="F2207" s="1"/>
  <c r="F2208"/>
  <c r="N2205"/>
  <c r="F2209" s="1"/>
  <c r="F2210"/>
  <c r="H2325"/>
  <c r="H2373"/>
  <c r="I2435"/>
  <c r="L2359"/>
  <c r="H2360"/>
  <c r="I2222"/>
  <c r="H2407"/>
  <c r="J2460"/>
  <c r="J2461" s="1"/>
  <c r="J2347"/>
  <c r="J2348" s="1"/>
  <c r="L2323"/>
  <c r="J2311"/>
  <c r="J2312" s="1"/>
  <c r="H2266"/>
  <c r="K2205"/>
  <c r="L2459"/>
  <c r="J2459"/>
  <c r="N2459" s="1"/>
  <c r="H2452"/>
  <c r="H2465" s="1"/>
  <c r="F2465"/>
  <c r="H2467" s="1"/>
  <c r="J2467" s="1"/>
  <c r="H2454"/>
  <c r="J2454" s="1"/>
  <c r="J2419"/>
  <c r="J2420" s="1"/>
  <c r="H2420"/>
  <c r="J2383"/>
  <c r="J2384" s="1"/>
  <c r="H2384"/>
  <c r="H2339"/>
  <c r="H2352" s="1"/>
  <c r="H2341"/>
  <c r="J2341" s="1"/>
  <c r="F2352"/>
  <c r="H2354" s="1"/>
  <c r="J2354" s="1"/>
  <c r="I2450"/>
  <c r="I2449"/>
  <c r="G2449" s="1"/>
  <c r="H2432"/>
  <c r="H2433"/>
  <c r="L2431"/>
  <c r="J2431"/>
  <c r="F2424"/>
  <c r="H2426" s="1"/>
  <c r="J2426" s="1"/>
  <c r="H2413"/>
  <c r="J2413" s="1"/>
  <c r="H2411"/>
  <c r="H2424" s="1"/>
  <c r="L2382"/>
  <c r="J2382"/>
  <c r="N2382" s="1"/>
  <c r="H2396"/>
  <c r="J2376"/>
  <c r="I2270"/>
  <c r="G2272" s="1"/>
  <c r="G2283"/>
  <c r="I2283" s="1"/>
  <c r="G2285" s="1"/>
  <c r="G2347"/>
  <c r="G2348" s="1"/>
  <c r="I2348" s="1"/>
  <c r="I2342"/>
  <c r="I2340"/>
  <c r="I2347" s="1"/>
  <c r="I2301"/>
  <c r="I2300"/>
  <c r="G2300" s="1"/>
  <c r="L2277"/>
  <c r="J2277"/>
  <c r="N2277" s="1"/>
  <c r="N2393"/>
  <c r="J2394"/>
  <c r="I2341"/>
  <c r="I2343"/>
  <c r="H2474"/>
  <c r="L2472"/>
  <c r="J2472"/>
  <c r="H2473"/>
  <c r="I2411"/>
  <c r="G2413" s="1"/>
  <c r="G2424"/>
  <c r="I2424" s="1"/>
  <c r="G2426" s="1"/>
  <c r="I2375"/>
  <c r="G2377" s="1"/>
  <c r="G2388"/>
  <c r="I2388" s="1"/>
  <c r="G2390" s="1"/>
  <c r="I2390" s="1"/>
  <c r="G2465"/>
  <c r="I2465" s="1"/>
  <c r="G2467" s="1"/>
  <c r="I2452"/>
  <c r="G2454" s="1"/>
  <c r="H2435"/>
  <c r="H2436"/>
  <c r="L2434"/>
  <c r="J2434"/>
  <c r="L2418"/>
  <c r="J2418"/>
  <c r="N2418" s="1"/>
  <c r="F2388"/>
  <c r="H2390" s="1"/>
  <c r="J2390" s="1"/>
  <c r="H2377"/>
  <c r="J2377" s="1"/>
  <c r="H2375"/>
  <c r="H2388" s="1"/>
  <c r="J2360"/>
  <c r="N2359"/>
  <c r="H2303"/>
  <c r="H2316" s="1"/>
  <c r="F2316"/>
  <c r="H2318" s="1"/>
  <c r="J2318" s="1"/>
  <c r="H2305"/>
  <c r="J2305" s="1"/>
  <c r="J2278"/>
  <c r="J2279" s="1"/>
  <c r="H2279"/>
  <c r="J2324"/>
  <c r="N2323"/>
  <c r="G2316"/>
  <c r="I2316" s="1"/>
  <c r="G2318" s="1"/>
  <c r="I2303"/>
  <c r="G2305" s="1"/>
  <c r="F2283"/>
  <c r="H2285" s="1"/>
  <c r="J2285" s="1"/>
  <c r="H2272"/>
  <c r="J2272" s="1"/>
  <c r="H2270"/>
  <c r="H2283" s="1"/>
  <c r="N2475"/>
  <c r="J2476"/>
  <c r="I2397"/>
  <c r="I2396"/>
  <c r="I2356"/>
  <c r="I2354"/>
  <c r="J2223"/>
  <c r="L2223" s="1"/>
  <c r="H2225"/>
  <c r="J2227"/>
  <c r="J2228" s="1"/>
  <c r="G2232"/>
  <c r="I2232"/>
  <c r="I2233" s="1"/>
  <c r="G2234"/>
  <c r="I2234"/>
  <c r="J2234"/>
  <c r="I2235"/>
  <c r="I2236"/>
  <c r="I2237"/>
  <c r="I2239" s="1"/>
  <c r="G2238"/>
  <c r="I2240"/>
  <c r="S2205"/>
  <c r="I2224"/>
  <c r="K2224" s="1"/>
  <c r="G2225"/>
  <c r="I2225" s="1"/>
  <c r="K2225"/>
  <c r="M2225" s="1"/>
  <c r="G2227"/>
  <c r="K2227" s="1"/>
  <c r="I2227"/>
  <c r="M2227" s="1"/>
  <c r="G2228"/>
  <c r="I2228"/>
  <c r="H2239"/>
  <c r="U2205" l="1"/>
  <c r="G2212"/>
  <c r="M2205"/>
  <c r="G2209" s="1"/>
  <c r="G2208"/>
  <c r="H2215"/>
  <c r="H2209"/>
  <c r="H2213"/>
  <c r="H2207"/>
  <c r="H2217"/>
  <c r="H2211"/>
  <c r="H2216"/>
  <c r="H2210"/>
  <c r="H2214"/>
  <c r="H2208"/>
  <c r="H2218"/>
  <c r="H2212"/>
  <c r="I2205"/>
  <c r="G2207" s="1"/>
  <c r="I2320"/>
  <c r="I2318"/>
  <c r="I2469"/>
  <c r="I2467"/>
  <c r="I2379"/>
  <c r="I2377"/>
  <c r="I2415"/>
  <c r="I2413"/>
  <c r="N2472"/>
  <c r="J2473"/>
  <c r="I2285"/>
  <c r="I2287"/>
  <c r="J2396"/>
  <c r="H2397" s="1"/>
  <c r="H2378"/>
  <c r="H2379" s="1"/>
  <c r="I2305"/>
  <c r="I2307"/>
  <c r="J2435"/>
  <c r="N2434"/>
  <c r="I2454"/>
  <c r="I2456"/>
  <c r="I2428"/>
  <c r="I2426"/>
  <c r="I2274"/>
  <c r="I2272"/>
  <c r="J2432"/>
  <c r="N2431"/>
  <c r="H2226"/>
  <c r="L2225"/>
  <c r="J2225"/>
  <c r="Q2205"/>
  <c r="G2211" s="1"/>
  <c r="K2035"/>
  <c r="I2034"/>
  <c r="H2035"/>
  <c r="J2035" s="1"/>
  <c r="G2033"/>
  <c r="I2033" s="1"/>
  <c r="J2030" s="1"/>
  <c r="D2033"/>
  <c r="G2032"/>
  <c r="I2032" s="1"/>
  <c r="I2030" s="1"/>
  <c r="D2032"/>
  <c r="G2031"/>
  <c r="I2031" s="1"/>
  <c r="G2030" s="1"/>
  <c r="D2031"/>
  <c r="H2030"/>
  <c r="J2029"/>
  <c r="I2029"/>
  <c r="K2032" s="1"/>
  <c r="G2025"/>
  <c r="O2021"/>
  <c r="I2215" l="1"/>
  <c r="I2209"/>
  <c r="I2217"/>
  <c r="I2211"/>
  <c r="I2213"/>
  <c r="I2207"/>
  <c r="I2214"/>
  <c r="I2208"/>
  <c r="I2218"/>
  <c r="I2212"/>
  <c r="H2033"/>
  <c r="H2032"/>
  <c r="J2226"/>
  <c r="N2225"/>
  <c r="H2031"/>
  <c r="J2031" s="1"/>
  <c r="J2033" l="1"/>
  <c r="J2032"/>
  <c r="L2032" s="1"/>
  <c r="H2122"/>
  <c r="G2122"/>
  <c r="D2122"/>
  <c r="J2121"/>
  <c r="L2121" s="1"/>
  <c r="K2115" s="1"/>
  <c r="I2121"/>
  <c r="I2122" s="1"/>
  <c r="K2122" s="1"/>
  <c r="D2121"/>
  <c r="L2120"/>
  <c r="I2119" s="1"/>
  <c r="K2120"/>
  <c r="D2120"/>
  <c r="L2118"/>
  <c r="H2119" s="1"/>
  <c r="K2118"/>
  <c r="G2119" s="1"/>
  <c r="D2118"/>
  <c r="D2117"/>
  <c r="D2116"/>
  <c r="J2114"/>
  <c r="J2116" s="1"/>
  <c r="I2114"/>
  <c r="K2114" s="1"/>
  <c r="G2115" s="1"/>
  <c r="D2114"/>
  <c r="J2113"/>
  <c r="L2113" s="1"/>
  <c r="J2107" s="1"/>
  <c r="I2113"/>
  <c r="K2113" s="1"/>
  <c r="D2113"/>
  <c r="D2112"/>
  <c r="D2111"/>
  <c r="J2110"/>
  <c r="J2111" s="1"/>
  <c r="I2110"/>
  <c r="K2110" s="1"/>
  <c r="D2110"/>
  <c r="F2109"/>
  <c r="D2109" s="1"/>
  <c r="J2108"/>
  <c r="L2108" s="1"/>
  <c r="H2109" s="1"/>
  <c r="I2108"/>
  <c r="K2108" s="1"/>
  <c r="I2109" s="1"/>
  <c r="D2108"/>
  <c r="J2106"/>
  <c r="L2106" s="1"/>
  <c r="H2107" s="1"/>
  <c r="I2107" s="1"/>
  <c r="I2106"/>
  <c r="K2106" s="1"/>
  <c r="G2107" s="1"/>
  <c r="D2106"/>
  <c r="D2105"/>
  <c r="D2104"/>
  <c r="J2102"/>
  <c r="L2102" s="1"/>
  <c r="H2103" s="1"/>
  <c r="I2102"/>
  <c r="I2104" s="1"/>
  <c r="D2102"/>
  <c r="D2101"/>
  <c r="D2100"/>
  <c r="D2098"/>
  <c r="D2097"/>
  <c r="D2096"/>
  <c r="D2095"/>
  <c r="D2093"/>
  <c r="D2092"/>
  <c r="H2091"/>
  <c r="G2091"/>
  <c r="I2091" s="1"/>
  <c r="D2091"/>
  <c r="J2089"/>
  <c r="I2089"/>
  <c r="D2089"/>
  <c r="J2088"/>
  <c r="I2088"/>
  <c r="D2088"/>
  <c r="D2087"/>
  <c r="D2086"/>
  <c r="D2085"/>
  <c r="F2084"/>
  <c r="D2084" s="1"/>
  <c r="F2083"/>
  <c r="D2083" s="1"/>
  <c r="G2074"/>
  <c r="G2100" s="1"/>
  <c r="G2101" s="1"/>
  <c r="F2074"/>
  <c r="I2073"/>
  <c r="G2082" s="1"/>
  <c r="H2073"/>
  <c r="H2082" s="1"/>
  <c r="H2072"/>
  <c r="F2072"/>
  <c r="D2072" s="1"/>
  <c r="F2071"/>
  <c r="D2071" s="1"/>
  <c r="F2070"/>
  <c r="D2070" s="1"/>
  <c r="F2069"/>
  <c r="D2069" s="1"/>
  <c r="G2065"/>
  <c r="G2060"/>
  <c r="O2058"/>
  <c r="H2083" l="1"/>
  <c r="H2084"/>
  <c r="J2104"/>
  <c r="J2105" s="1"/>
  <c r="L2105" s="1"/>
  <c r="J2103" s="1"/>
  <c r="I2111"/>
  <c r="I2112" s="1"/>
  <c r="K2112" s="1"/>
  <c r="I2116"/>
  <c r="I2117" s="1"/>
  <c r="K2117" s="1"/>
  <c r="J2122"/>
  <c r="L2122" s="1"/>
  <c r="L2115" s="1"/>
  <c r="L2116"/>
  <c r="I2115" s="1"/>
  <c r="J2117"/>
  <c r="L2117" s="1"/>
  <c r="J2115" s="1"/>
  <c r="K2104"/>
  <c r="I2105"/>
  <c r="K2105" s="1"/>
  <c r="L2111"/>
  <c r="L2103" s="1"/>
  <c r="J2112"/>
  <c r="L2112" s="1"/>
  <c r="M2103" s="1"/>
  <c r="I2074"/>
  <c r="G2075"/>
  <c r="G2076"/>
  <c r="G2079" s="1"/>
  <c r="J2091"/>
  <c r="G2092"/>
  <c r="K2102"/>
  <c r="G2103" s="1"/>
  <c r="L2104"/>
  <c r="I2103" s="1"/>
  <c r="L2110"/>
  <c r="K2103" s="1"/>
  <c r="L2114"/>
  <c r="H2115" s="1"/>
  <c r="K2121"/>
  <c r="H2074"/>
  <c r="F2075"/>
  <c r="F2076"/>
  <c r="H2092"/>
  <c r="H2093" s="1"/>
  <c r="H2100" l="1"/>
  <c r="H2101" s="1"/>
  <c r="K2116"/>
  <c r="K2111"/>
  <c r="H2095"/>
  <c r="L2085"/>
  <c r="F2078"/>
  <c r="H2075"/>
  <c r="G2095"/>
  <c r="M2085"/>
  <c r="G2078"/>
  <c r="G2077"/>
  <c r="G2081" s="1"/>
  <c r="I2075"/>
  <c r="F2079"/>
  <c r="F2077"/>
  <c r="F2081" s="1"/>
  <c r="J2092"/>
  <c r="J2093" s="1"/>
  <c r="H2076"/>
  <c r="G2093"/>
  <c r="I2092"/>
  <c r="I2093" s="1"/>
  <c r="I2100"/>
  <c r="I2101" s="1"/>
  <c r="I2082"/>
  <c r="I2083" s="1"/>
  <c r="I2076"/>
  <c r="I2079" s="1"/>
  <c r="J2100" l="1"/>
  <c r="J2101" s="1"/>
  <c r="M2086"/>
  <c r="M2087"/>
  <c r="K2085"/>
  <c r="G2085"/>
  <c r="L2087"/>
  <c r="N2085"/>
  <c r="J2085"/>
  <c r="L2086"/>
  <c r="J2082"/>
  <c r="I2084" s="1"/>
  <c r="I2078"/>
  <c r="I2077"/>
  <c r="I2081" s="1"/>
  <c r="G2096"/>
  <c r="G2097"/>
  <c r="G2098" s="1"/>
  <c r="I2095"/>
  <c r="H2097"/>
  <c r="H2096"/>
  <c r="H2098" s="1"/>
  <c r="H2079"/>
  <c r="H2077"/>
  <c r="H2081" s="1"/>
  <c r="J2095"/>
  <c r="H2078"/>
  <c r="I2096" l="1"/>
  <c r="I2097"/>
  <c r="I2098" s="1"/>
  <c r="G2086"/>
  <c r="G2087"/>
  <c r="J2097"/>
  <c r="J2096"/>
  <c r="J2098" s="1"/>
  <c r="J2087"/>
  <c r="H2085"/>
  <c r="J2086"/>
  <c r="K2086"/>
  <c r="K2087"/>
  <c r="I2085"/>
  <c r="N2087"/>
  <c r="N2086"/>
  <c r="I2086" l="1"/>
  <c r="I2087"/>
  <c r="H2087"/>
  <c r="H2086"/>
  <c r="D1541" l="1"/>
  <c r="F1539"/>
  <c r="D1539" s="1"/>
  <c r="F1538"/>
  <c r="D1538" s="1"/>
  <c r="F1537"/>
  <c r="D1537" s="1"/>
  <c r="F1536"/>
  <c r="D1536" s="1"/>
  <c r="F1535"/>
  <c r="D1535" s="1"/>
  <c r="F1534"/>
  <c r="D1534" s="1"/>
  <c r="F1533"/>
  <c r="D1533" s="1"/>
  <c r="F1532"/>
  <c r="D1532" s="1"/>
  <c r="F1531"/>
  <c r="D1531" s="1"/>
  <c r="F1530"/>
  <c r="D1530" s="1"/>
  <c r="F1529"/>
  <c r="D1529" s="1"/>
  <c r="F1527"/>
  <c r="D1527" s="1"/>
  <c r="F1526"/>
  <c r="D1526" s="1"/>
  <c r="F1525"/>
  <c r="D1525" s="1"/>
  <c r="F1524"/>
  <c r="D1524" s="1"/>
  <c r="F1523"/>
  <c r="D1523" s="1"/>
  <c r="H1521"/>
  <c r="G1521"/>
  <c r="D1521"/>
  <c r="D1520"/>
  <c r="J1519"/>
  <c r="I1519"/>
  <c r="H1519"/>
  <c r="H1520" s="1"/>
  <c r="G1519"/>
  <c r="G1520" s="1"/>
  <c r="D1519"/>
  <c r="D1516"/>
  <c r="F1514"/>
  <c r="D1514" s="1"/>
  <c r="F1513"/>
  <c r="D1513" s="1"/>
  <c r="F1512"/>
  <c r="D1512" s="1"/>
  <c r="F1511"/>
  <c r="D1511" s="1"/>
  <c r="F1510"/>
  <c r="D1510" s="1"/>
  <c r="J1509"/>
  <c r="K1509" s="1"/>
  <c r="L1509" s="1"/>
  <c r="F1508"/>
  <c r="D1508" s="1"/>
  <c r="F1507"/>
  <c r="D1507" s="1"/>
  <c r="Y1506"/>
  <c r="Z1506" s="1"/>
  <c r="U1506"/>
  <c r="V1506" s="1"/>
  <c r="Q1506"/>
  <c r="R1506" s="1"/>
  <c r="M1506"/>
  <c r="N1506" s="1"/>
  <c r="N1505" s="1"/>
  <c r="L1519" s="1"/>
  <c r="L1520" s="1"/>
  <c r="J1521" s="1"/>
  <c r="P1505"/>
  <c r="T1505" s="1"/>
  <c r="O1505"/>
  <c r="S1505" s="1"/>
  <c r="D1505"/>
  <c r="J1503"/>
  <c r="D1503"/>
  <c r="J1501"/>
  <c r="D1501"/>
  <c r="J1500"/>
  <c r="D1500"/>
  <c r="J1499"/>
  <c r="D1499"/>
  <c r="J1498"/>
  <c r="D1498"/>
  <c r="J1497"/>
  <c r="D1497"/>
  <c r="J1496"/>
  <c r="D1496"/>
  <c r="J1495"/>
  <c r="D1495"/>
  <c r="J1494"/>
  <c r="D1494"/>
  <c r="J1493"/>
  <c r="D1493"/>
  <c r="J1492"/>
  <c r="D1492"/>
  <c r="J1491"/>
  <c r="D1491"/>
  <c r="J1490"/>
  <c r="D1490"/>
  <c r="J1489"/>
  <c r="D1489"/>
  <c r="J1488"/>
  <c r="D1488"/>
  <c r="J1487"/>
  <c r="D1487"/>
  <c r="J1486"/>
  <c r="D1486"/>
  <c r="J1485"/>
  <c r="D1485"/>
  <c r="J1484"/>
  <c r="D1484"/>
  <c r="J1483"/>
  <c r="D1483"/>
  <c r="J1482"/>
  <c r="D1482"/>
  <c r="J1481"/>
  <c r="D1481"/>
  <c r="J1480"/>
  <c r="D1480"/>
  <c r="D1479"/>
  <c r="D1478"/>
  <c r="D1477"/>
  <c r="J1476"/>
  <c r="J1477" s="1"/>
  <c r="J1478" s="1"/>
  <c r="J1479" s="1"/>
  <c r="I1476"/>
  <c r="I1477" s="1"/>
  <c r="I1478" s="1"/>
  <c r="I1479" s="1"/>
  <c r="I1480" s="1"/>
  <c r="I1481" s="1"/>
  <c r="I1482" s="1"/>
  <c r="I1483" s="1"/>
  <c r="I1484" s="1"/>
  <c r="I1485" s="1"/>
  <c r="I1486" s="1"/>
  <c r="I1487" s="1"/>
  <c r="I1488" s="1"/>
  <c r="I1489" s="1"/>
  <c r="I1490" s="1"/>
  <c r="I1491" s="1"/>
  <c r="I1492" s="1"/>
  <c r="I1493" s="1"/>
  <c r="I1494" s="1"/>
  <c r="I1495" s="1"/>
  <c r="I1496" s="1"/>
  <c r="I1497" s="1"/>
  <c r="I1498" s="1"/>
  <c r="I1499" s="1"/>
  <c r="I1500" s="1"/>
  <c r="I1501" s="1"/>
  <c r="H1476"/>
  <c r="H1477" s="1"/>
  <c r="G1476"/>
  <c r="G1477" s="1"/>
  <c r="G1478" s="1"/>
  <c r="G1479" s="1"/>
  <c r="G1480" s="1"/>
  <c r="G1481" s="1"/>
  <c r="G1482" s="1"/>
  <c r="G1483" s="1"/>
  <c r="G1484" s="1"/>
  <c r="G1485" s="1"/>
  <c r="G1486" s="1"/>
  <c r="G1487" s="1"/>
  <c r="G1488" s="1"/>
  <c r="G1489" s="1"/>
  <c r="G1490" s="1"/>
  <c r="G1491" s="1"/>
  <c r="G1492" s="1"/>
  <c r="G1493" s="1"/>
  <c r="G1494" s="1"/>
  <c r="G1495" s="1"/>
  <c r="G1496" s="1"/>
  <c r="G1497" s="1"/>
  <c r="G1498" s="1"/>
  <c r="G1499" s="1"/>
  <c r="G1500" s="1"/>
  <c r="G1501" s="1"/>
  <c r="E1476"/>
  <c r="E1477" s="1"/>
  <c r="E1478" s="1"/>
  <c r="E1479" s="1"/>
  <c r="E1480" s="1"/>
  <c r="E1481" s="1"/>
  <c r="E1482" s="1"/>
  <c r="E1483" s="1"/>
  <c r="E1484" s="1"/>
  <c r="E1485" s="1"/>
  <c r="E1486" s="1"/>
  <c r="E1487" s="1"/>
  <c r="E1488" s="1"/>
  <c r="E1489" s="1"/>
  <c r="E1490" s="1"/>
  <c r="E1491" s="1"/>
  <c r="E1492" s="1"/>
  <c r="E1493" s="1"/>
  <c r="E1494" s="1"/>
  <c r="E1495" s="1"/>
  <c r="E1496" s="1"/>
  <c r="E1497" s="1"/>
  <c r="E1498" s="1"/>
  <c r="E1499" s="1"/>
  <c r="E1500" s="1"/>
  <c r="E1501" s="1"/>
  <c r="D1476"/>
  <c r="L1475"/>
  <c r="K1475"/>
  <c r="D1475"/>
  <c r="M1505" l="1"/>
  <c r="K1519" s="1"/>
  <c r="K1520" s="1"/>
  <c r="I1521" s="1"/>
  <c r="H1478"/>
  <c r="H1479" s="1"/>
  <c r="H1480" s="1"/>
  <c r="H1481" s="1"/>
  <c r="H1482" s="1"/>
  <c r="H1483" s="1"/>
  <c r="H1484" s="1"/>
  <c r="H1485" s="1"/>
  <c r="H1486" s="1"/>
  <c r="H1487" s="1"/>
  <c r="H1488" s="1"/>
  <c r="H1489" s="1"/>
  <c r="H1490" s="1"/>
  <c r="H1491" s="1"/>
  <c r="H1492" s="1"/>
  <c r="H1493" s="1"/>
  <c r="H1494" s="1"/>
  <c r="H1495" s="1"/>
  <c r="H1496" s="1"/>
  <c r="H1497" s="1"/>
  <c r="H1498" s="1"/>
  <c r="H1499" s="1"/>
  <c r="H1500" s="1"/>
  <c r="H1501" s="1"/>
  <c r="L1476"/>
  <c r="X1505"/>
  <c r="V1505"/>
  <c r="W1505"/>
  <c r="U1505"/>
  <c r="Q1505"/>
  <c r="M1521" s="1"/>
  <c r="K1476"/>
  <c r="R1505"/>
  <c r="N1521" s="1"/>
  <c r="AA1505" l="1"/>
  <c r="Y1505"/>
  <c r="AB1505"/>
  <c r="Z1505"/>
  <c r="F1356" l="1"/>
  <c r="D1356" s="1"/>
  <c r="D1355"/>
  <c r="F1353"/>
  <c r="D1353" s="1"/>
  <c r="I1351"/>
  <c r="F1351"/>
  <c r="D1351" s="1"/>
  <c r="F1350"/>
  <c r="D1350" s="1"/>
  <c r="H1349"/>
  <c r="F1349"/>
  <c r="D1349" s="1"/>
  <c r="F1348"/>
  <c r="D1348" s="1"/>
  <c r="D1347"/>
  <c r="D1345"/>
  <c r="D1344"/>
  <c r="L1342"/>
  <c r="J1347" s="1"/>
  <c r="J1342"/>
  <c r="H1347" s="1"/>
  <c r="J1345" s="1"/>
  <c r="H1345" s="1"/>
  <c r="I1342"/>
  <c r="D1342"/>
  <c r="I1339"/>
  <c r="J1339" s="1"/>
  <c r="F1338"/>
  <c r="D1338" s="1"/>
  <c r="I1337"/>
  <c r="K1337" s="1"/>
  <c r="D1336"/>
  <c r="J1335"/>
  <c r="D1335"/>
  <c r="D1334"/>
  <c r="D1333"/>
  <c r="F1330"/>
  <c r="D1330" s="1"/>
  <c r="F1329"/>
  <c r="D1329" s="1"/>
  <c r="G1325"/>
  <c r="F1323"/>
  <c r="G1322"/>
  <c r="O1316"/>
  <c r="K1342" l="1"/>
  <c r="I1347" s="1"/>
  <c r="G1344"/>
  <c r="G1347"/>
  <c r="H1344"/>
  <c r="J1344"/>
  <c r="D1313"/>
  <c r="L1311"/>
  <c r="J1313" s="1"/>
  <c r="J1311"/>
  <c r="H1313" s="1"/>
  <c r="I1311"/>
  <c r="G1313" s="1"/>
  <c r="D1311"/>
  <c r="F1307"/>
  <c r="D1307" s="1"/>
  <c r="J1306"/>
  <c r="I1306"/>
  <c r="D1306"/>
  <c r="F1304"/>
  <c r="D1304" s="1"/>
  <c r="F1302"/>
  <c r="D1302" s="1"/>
  <c r="F1301"/>
  <c r="D1301" s="1"/>
  <c r="D1300"/>
  <c r="D1298"/>
  <c r="L1296"/>
  <c r="J1300" s="1"/>
  <c r="J1296"/>
  <c r="H1300" s="1"/>
  <c r="I1296"/>
  <c r="G1298" s="1"/>
  <c r="D1296"/>
  <c r="I1293"/>
  <c r="J1293" s="1"/>
  <c r="I1292"/>
  <c r="J1292" s="1"/>
  <c r="D1291"/>
  <c r="D1290"/>
  <c r="D1289"/>
  <c r="F1286"/>
  <c r="D1286" s="1"/>
  <c r="F1285"/>
  <c r="D1285" s="1"/>
  <c r="G1281"/>
  <c r="F1279"/>
  <c r="G1278"/>
  <c r="O1272"/>
  <c r="H1304" l="1"/>
  <c r="I1344"/>
  <c r="J1298"/>
  <c r="H1298"/>
  <c r="K1311"/>
  <c r="I1313" s="1"/>
  <c r="K1296"/>
  <c r="G1300"/>
  <c r="F1269"/>
  <c r="D1269" s="1"/>
  <c r="F1268"/>
  <c r="D1268" s="1"/>
  <c r="F1267"/>
  <c r="D1267" s="1"/>
  <c r="H1266"/>
  <c r="H1267" s="1"/>
  <c r="H1268" s="1"/>
  <c r="H1269" s="1"/>
  <c r="F1266"/>
  <c r="D1266" s="1"/>
  <c r="F1265"/>
  <c r="D1265" s="1"/>
  <c r="F1264"/>
  <c r="D1264" s="1"/>
  <c r="I1263"/>
  <c r="F1263"/>
  <c r="D1263" s="1"/>
  <c r="D1262"/>
  <c r="D1261"/>
  <c r="I1260"/>
  <c r="G1262" s="1"/>
  <c r="I1259"/>
  <c r="G1259" s="1"/>
  <c r="G1261" s="1"/>
  <c r="F1258"/>
  <c r="D1258" s="1"/>
  <c r="F1257"/>
  <c r="D1257" s="1"/>
  <c r="I1256"/>
  <c r="F1256"/>
  <c r="D1256" s="1"/>
  <c r="D1255"/>
  <c r="D1254"/>
  <c r="I1253"/>
  <c r="M1253" s="1"/>
  <c r="I1252"/>
  <c r="G1252" s="1"/>
  <c r="G1254" s="1"/>
  <c r="F1251"/>
  <c r="D1251" s="1"/>
  <c r="F1250"/>
  <c r="D1250" s="1"/>
  <c r="I1249"/>
  <c r="F1249"/>
  <c r="D1249" s="1"/>
  <c r="D1248"/>
  <c r="D1247"/>
  <c r="I1246"/>
  <c r="G1248" s="1"/>
  <c r="I1245"/>
  <c r="G1245" s="1"/>
  <c r="G1247" s="1"/>
  <c r="F1244"/>
  <c r="D1244" s="1"/>
  <c r="F1243"/>
  <c r="D1243" s="1"/>
  <c r="I1242"/>
  <c r="F1242"/>
  <c r="D1242" s="1"/>
  <c r="D1241"/>
  <c r="D1240"/>
  <c r="I1239"/>
  <c r="M1239" s="1"/>
  <c r="I1238"/>
  <c r="G1238" s="1"/>
  <c r="G1240" s="1"/>
  <c r="H1237"/>
  <c r="H1244" s="1"/>
  <c r="F1237"/>
  <c r="D1237" s="1"/>
  <c r="F1236"/>
  <c r="D1236" s="1"/>
  <c r="I1235"/>
  <c r="H1235"/>
  <c r="H1236" s="1"/>
  <c r="F1235"/>
  <c r="D1235" s="1"/>
  <c r="D1234"/>
  <c r="I1233"/>
  <c r="G1234" s="1"/>
  <c r="I1232"/>
  <c r="G1232" s="1"/>
  <c r="K1232" s="1"/>
  <c r="H1232"/>
  <c r="L1232" s="1"/>
  <c r="L1233" s="1"/>
  <c r="F1231"/>
  <c r="D1231" s="1"/>
  <c r="H1225"/>
  <c r="F1225" s="1"/>
  <c r="O1216"/>
  <c r="I1225" l="1"/>
  <c r="I1228"/>
  <c r="H1226"/>
  <c r="F1226" s="1"/>
  <c r="I1229"/>
  <c r="I1226"/>
  <c r="I1227"/>
  <c r="F1232"/>
  <c r="H1233" s="1"/>
  <c r="J1234" s="1"/>
  <c r="L1234" s="1"/>
  <c r="H1251"/>
  <c r="H1256" s="1"/>
  <c r="H1257" s="1"/>
  <c r="H1227"/>
  <c r="F1227" s="1"/>
  <c r="M1232"/>
  <c r="G1233"/>
  <c r="H1238"/>
  <c r="L1238" s="1"/>
  <c r="L1239" s="1"/>
  <c r="G1239"/>
  <c r="K1239" s="1"/>
  <c r="G1241"/>
  <c r="K1241" s="1"/>
  <c r="G1246"/>
  <c r="K1246" s="1"/>
  <c r="G1253"/>
  <c r="K1253" s="1"/>
  <c r="G1255"/>
  <c r="K1255" s="1"/>
  <c r="G1260"/>
  <c r="K1260" s="1"/>
  <c r="M1238"/>
  <c r="H1242"/>
  <c r="H1243" s="1"/>
  <c r="M1245"/>
  <c r="M1252"/>
  <c r="M1259"/>
  <c r="I1298"/>
  <c r="I1300"/>
  <c r="I1304" s="1"/>
  <c r="K1247"/>
  <c r="I1247"/>
  <c r="K1234"/>
  <c r="I1234"/>
  <c r="K1240"/>
  <c r="I1240"/>
  <c r="K1248"/>
  <c r="I1248"/>
  <c r="K1262"/>
  <c r="I1262"/>
  <c r="K1254"/>
  <c r="I1254"/>
  <c r="K1261"/>
  <c r="I1261"/>
  <c r="F1233"/>
  <c r="K1245"/>
  <c r="M1246"/>
  <c r="K1259"/>
  <c r="M1260"/>
  <c r="M1233"/>
  <c r="K1238"/>
  <c r="H1245"/>
  <c r="H1249"/>
  <c r="H1250" s="1"/>
  <c r="K1252"/>
  <c r="H1213"/>
  <c r="F1213" s="1"/>
  <c r="F1212"/>
  <c r="D1212" s="1"/>
  <c r="I1211"/>
  <c r="H1211"/>
  <c r="H1212" s="1"/>
  <c r="F1211"/>
  <c r="D1211" s="1"/>
  <c r="D1210"/>
  <c r="D1209"/>
  <c r="I1208"/>
  <c r="G1210" s="1"/>
  <c r="I1207"/>
  <c r="I1213" s="1"/>
  <c r="H1207"/>
  <c r="F1208" s="1"/>
  <c r="F1206"/>
  <c r="D1206" s="1"/>
  <c r="G1207" l="1"/>
  <c r="G1209" s="1"/>
  <c r="H1234"/>
  <c r="H1252"/>
  <c r="F1253" s="1"/>
  <c r="H1258"/>
  <c r="H1263" s="1"/>
  <c r="H1264" s="1"/>
  <c r="I1255"/>
  <c r="J1232"/>
  <c r="J1233" s="1"/>
  <c r="F1207"/>
  <c r="J1209" s="1"/>
  <c r="L1209" s="1"/>
  <c r="I1241"/>
  <c r="H1228"/>
  <c r="F1228" s="1"/>
  <c r="I1264"/>
  <c r="G1229"/>
  <c r="I1257"/>
  <c r="G1228"/>
  <c r="F1239"/>
  <c r="F1238"/>
  <c r="G1208"/>
  <c r="G1213" s="1"/>
  <c r="I1250"/>
  <c r="G1227"/>
  <c r="I1243"/>
  <c r="G1226"/>
  <c r="K1233"/>
  <c r="I1236"/>
  <c r="G1225"/>
  <c r="F1246"/>
  <c r="L1245"/>
  <c r="L1246" s="1"/>
  <c r="F1245"/>
  <c r="K1209"/>
  <c r="I1209"/>
  <c r="K1210"/>
  <c r="I1210"/>
  <c r="K1207"/>
  <c r="M1207"/>
  <c r="M1208"/>
  <c r="L1207"/>
  <c r="L1208" s="1"/>
  <c r="U1205"/>
  <c r="T1205" s="1"/>
  <c r="U1204"/>
  <c r="T1204" s="1"/>
  <c r="H1204"/>
  <c r="U1202"/>
  <c r="T1202" s="1"/>
  <c r="G1202"/>
  <c r="U1201"/>
  <c r="T1201" s="1"/>
  <c r="I1198"/>
  <c r="H1198"/>
  <c r="G1196"/>
  <c r="I1195"/>
  <c r="H1195"/>
  <c r="F1176"/>
  <c r="D1176" s="1"/>
  <c r="J1175"/>
  <c r="D1175"/>
  <c r="I1174"/>
  <c r="I1176" s="1"/>
  <c r="H1174"/>
  <c r="F1173"/>
  <c r="D1173" s="1"/>
  <c r="D1172"/>
  <c r="F1171"/>
  <c r="D1171" s="1"/>
  <c r="J1170"/>
  <c r="L1170" s="1"/>
  <c r="H1171" s="1"/>
  <c r="I1170"/>
  <c r="K1170" s="1"/>
  <c r="I1171" s="1"/>
  <c r="D1170"/>
  <c r="F1169"/>
  <c r="D1169" s="1"/>
  <c r="J1168"/>
  <c r="L1168" s="1"/>
  <c r="H1169" s="1"/>
  <c r="I1168"/>
  <c r="K1168" s="1"/>
  <c r="I1169" s="1"/>
  <c r="D1168"/>
  <c r="J1166"/>
  <c r="K1166" s="1"/>
  <c r="L1166" s="1"/>
  <c r="F1165"/>
  <c r="D1165" s="1"/>
  <c r="F1164"/>
  <c r="D1164" s="1"/>
  <c r="F1163"/>
  <c r="D1163" s="1"/>
  <c r="F1162"/>
  <c r="D1162" s="1"/>
  <c r="F1161"/>
  <c r="D1161" s="1"/>
  <c r="F1160"/>
  <c r="D1160" s="1"/>
  <c r="P1159"/>
  <c r="T1159" s="1"/>
  <c r="O1159"/>
  <c r="S1159" s="1"/>
  <c r="D1159"/>
  <c r="Y1158"/>
  <c r="Z1158" s="1"/>
  <c r="U1158"/>
  <c r="V1158" s="1"/>
  <c r="Q1158"/>
  <c r="R1158" s="1"/>
  <c r="M1158"/>
  <c r="M1159" s="1"/>
  <c r="J1156"/>
  <c r="H1156"/>
  <c r="G1156"/>
  <c r="I1156" s="1"/>
  <c r="D1156"/>
  <c r="D1155"/>
  <c r="D1154"/>
  <c r="D1153"/>
  <c r="J1152"/>
  <c r="J1153" s="1"/>
  <c r="J1154" s="1"/>
  <c r="J1155" s="1"/>
  <c r="I1152"/>
  <c r="I1153" s="1"/>
  <c r="I1154" s="1"/>
  <c r="I1155" s="1"/>
  <c r="H1152"/>
  <c r="H1153" s="1"/>
  <c r="G1152"/>
  <c r="G1153" s="1"/>
  <c r="G1154" s="1"/>
  <c r="G1155" s="1"/>
  <c r="E1152"/>
  <c r="E1153" s="1"/>
  <c r="E1154" s="1"/>
  <c r="E1155" s="1"/>
  <c r="E1156" s="1"/>
  <c r="D1152"/>
  <c r="K1151"/>
  <c r="D1151"/>
  <c r="J1149"/>
  <c r="L1149" s="1"/>
  <c r="D1145"/>
  <c r="G1141"/>
  <c r="I1140"/>
  <c r="O1136"/>
  <c r="J1204" l="1"/>
  <c r="L1151"/>
  <c r="L1252"/>
  <c r="L1253" s="1"/>
  <c r="H1209"/>
  <c r="F1252"/>
  <c r="J1254" s="1"/>
  <c r="L1254" s="1"/>
  <c r="H1259"/>
  <c r="L1259" s="1"/>
  <c r="L1260" s="1"/>
  <c r="H1229"/>
  <c r="F1229" s="1"/>
  <c r="H1208"/>
  <c r="J1210" s="1"/>
  <c r="L1210" s="1"/>
  <c r="J1207"/>
  <c r="J1208" s="1"/>
  <c r="J1201"/>
  <c r="I1212"/>
  <c r="K1208"/>
  <c r="N1158"/>
  <c r="N1159" s="1"/>
  <c r="J1240"/>
  <c r="L1240" s="1"/>
  <c r="H1240"/>
  <c r="J1238"/>
  <c r="J1239" s="1"/>
  <c r="H1239"/>
  <c r="J1247"/>
  <c r="L1247" s="1"/>
  <c r="H1247"/>
  <c r="H1246"/>
  <c r="J1245"/>
  <c r="J1246" s="1"/>
  <c r="F1260"/>
  <c r="I1201"/>
  <c r="I1204"/>
  <c r="W1159"/>
  <c r="U1159"/>
  <c r="X1159"/>
  <c r="V1159"/>
  <c r="L1152"/>
  <c r="H1154"/>
  <c r="H1155" s="1"/>
  <c r="Q1159"/>
  <c r="K1152"/>
  <c r="R1159"/>
  <c r="H1210" l="1"/>
  <c r="J1252"/>
  <c r="J1253" s="1"/>
  <c r="F1259"/>
  <c r="J1261" s="1"/>
  <c r="L1261" s="1"/>
  <c r="H1254"/>
  <c r="H1253"/>
  <c r="J1255" s="1"/>
  <c r="L1255" s="1"/>
  <c r="H1241"/>
  <c r="J1241"/>
  <c r="L1241" s="1"/>
  <c r="J1248"/>
  <c r="L1248" s="1"/>
  <c r="H1248"/>
  <c r="AB1159"/>
  <c r="Z1159"/>
  <c r="AA1159"/>
  <c r="Y1159"/>
  <c r="J1259" l="1"/>
  <c r="J1260" s="1"/>
  <c r="H1260"/>
  <c r="J1262" s="1"/>
  <c r="L1262" s="1"/>
  <c r="H1261"/>
  <c r="H1255"/>
  <c r="J1057"/>
  <c r="L1057" s="1"/>
  <c r="J1056"/>
  <c r="H1056"/>
  <c r="G1055"/>
  <c r="I1049"/>
  <c r="J1048"/>
  <c r="J1050" s="1"/>
  <c r="J1051" s="1"/>
  <c r="J1052" s="1"/>
  <c r="J1053" s="1"/>
  <c r="J1054" s="1"/>
  <c r="H1048"/>
  <c r="H1050" s="1"/>
  <c r="H1051" s="1"/>
  <c r="H1052" s="1"/>
  <c r="H1053" s="1"/>
  <c r="H1054" s="1"/>
  <c r="G1048"/>
  <c r="G1050" s="1"/>
  <c r="C1043"/>
  <c r="I1042"/>
  <c r="I1043" s="1"/>
  <c r="I1044" s="1"/>
  <c r="I1045" s="1"/>
  <c r="I1046" s="1"/>
  <c r="I1047" s="1"/>
  <c r="G1042"/>
  <c r="G1043" s="1"/>
  <c r="G1044" s="1"/>
  <c r="G1045" s="1"/>
  <c r="G1046" s="1"/>
  <c r="G1047" s="1"/>
  <c r="F1041"/>
  <c r="D1041" s="1"/>
  <c r="I1040"/>
  <c r="H1040"/>
  <c r="F1040"/>
  <c r="D1040" s="1"/>
  <c r="I1039"/>
  <c r="I1041" s="1"/>
  <c r="F1039"/>
  <c r="D1039" s="1"/>
  <c r="G1038"/>
  <c r="D1033"/>
  <c r="G1031"/>
  <c r="O1025"/>
  <c r="I1038" l="1"/>
  <c r="H1039"/>
  <c r="H1041" s="1"/>
  <c r="J1038"/>
  <c r="H1262"/>
  <c r="H1042"/>
  <c r="H1055" s="1"/>
  <c r="I1056"/>
  <c r="G1051"/>
  <c r="I1050"/>
  <c r="J1049"/>
  <c r="G1056"/>
  <c r="I1048"/>
  <c r="J1042" l="1"/>
  <c r="H1043"/>
  <c r="I1055" s="1"/>
  <c r="G1052"/>
  <c r="I1051"/>
  <c r="K1056"/>
  <c r="J1043" l="1"/>
  <c r="H1044"/>
  <c r="H1045" s="1"/>
  <c r="L1056"/>
  <c r="G1053"/>
  <c r="I1052"/>
  <c r="J1055" l="1"/>
  <c r="J1044"/>
  <c r="K1055"/>
  <c r="H1046"/>
  <c r="J1045"/>
  <c r="G1054"/>
  <c r="I1053"/>
  <c r="M1056"/>
  <c r="O692"/>
  <c r="O279"/>
  <c r="O853"/>
  <c r="O351"/>
  <c r="O257"/>
  <c r="O166"/>
  <c r="O191"/>
  <c r="O482"/>
  <c r="O820"/>
  <c r="O422"/>
  <c r="O373"/>
  <c r="O777"/>
  <c r="N1056" l="1"/>
  <c r="I1054"/>
  <c r="L1055"/>
  <c r="H1047"/>
  <c r="J1046"/>
  <c r="M1055" l="1"/>
  <c r="J1047"/>
  <c r="B432"/>
  <c r="B431"/>
  <c r="I895" l="1"/>
  <c r="H895"/>
  <c r="J895" s="1"/>
  <c r="G895"/>
  <c r="F892"/>
  <c r="D892" s="1"/>
  <c r="I889"/>
  <c r="F889"/>
  <c r="D889" s="1"/>
  <c r="I888"/>
  <c r="G888"/>
  <c r="H885"/>
  <c r="H889" s="1"/>
  <c r="F885"/>
  <c r="D885" s="1"/>
  <c r="H884"/>
  <c r="F884"/>
  <c r="D884" s="1"/>
  <c r="H883"/>
  <c r="H888" s="1"/>
  <c r="F883"/>
  <c r="D883" s="1"/>
  <c r="H879"/>
  <c r="I878"/>
  <c r="I877"/>
  <c r="I876"/>
  <c r="I875"/>
  <c r="J875" s="1"/>
  <c r="K875" s="1"/>
  <c r="G875"/>
  <c r="J874"/>
  <c r="H874"/>
  <c r="C872"/>
  <c r="H871" s="1"/>
  <c r="H872" s="1"/>
  <c r="H873" s="1"/>
  <c r="I871"/>
  <c r="I872" s="1"/>
  <c r="I873" s="1"/>
  <c r="G871"/>
  <c r="G872" s="1"/>
  <c r="G873" s="1"/>
  <c r="C871"/>
  <c r="H870"/>
  <c r="F870"/>
  <c r="D870" s="1"/>
  <c r="F869"/>
  <c r="D869" s="1"/>
  <c r="I868"/>
  <c r="F868"/>
  <c r="D868" s="1"/>
  <c r="I863"/>
  <c r="H863"/>
  <c r="F863" s="1"/>
  <c r="G863"/>
  <c r="G859"/>
  <c r="I870" l="1"/>
  <c r="H868"/>
  <c r="J871"/>
  <c r="J872" s="1"/>
  <c r="J873" s="1"/>
  <c r="G874"/>
  <c r="I874" s="1"/>
  <c r="G850" l="1"/>
  <c r="I850" s="1"/>
  <c r="J850" s="1"/>
  <c r="K850" s="1"/>
  <c r="L850" s="1"/>
  <c r="H850"/>
  <c r="G849"/>
  <c r="G827" s="1"/>
  <c r="G831" s="1"/>
  <c r="I831" s="1"/>
  <c r="I848"/>
  <c r="J848" s="1"/>
  <c r="G848"/>
  <c r="J843"/>
  <c r="J844" s="1"/>
  <c r="J845" s="1"/>
  <c r="J846" s="1"/>
  <c r="J847" s="1"/>
  <c r="H843"/>
  <c r="H844" s="1"/>
  <c r="H845" s="1"/>
  <c r="H846" s="1"/>
  <c r="H847" s="1"/>
  <c r="G843"/>
  <c r="G844" s="1"/>
  <c r="C842"/>
  <c r="H849" s="1"/>
  <c r="I840"/>
  <c r="I841" s="1"/>
  <c r="I842" s="1"/>
  <c r="G840"/>
  <c r="G841" s="1"/>
  <c r="G842" s="1"/>
  <c r="I839"/>
  <c r="H839"/>
  <c r="F839"/>
  <c r="D839" s="1"/>
  <c r="I838"/>
  <c r="F838"/>
  <c r="D838" s="1"/>
  <c r="D831"/>
  <c r="D827"/>
  <c r="H838" l="1"/>
  <c r="H840"/>
  <c r="H841" s="1"/>
  <c r="H842" s="1"/>
  <c r="J842" s="1"/>
  <c r="G845"/>
  <c r="I844"/>
  <c r="I849"/>
  <c r="H827"/>
  <c r="I827"/>
  <c r="I843"/>
  <c r="J840" l="1"/>
  <c r="J841"/>
  <c r="G846"/>
  <c r="I845"/>
  <c r="J827"/>
  <c r="H831"/>
  <c r="J831" s="1"/>
  <c r="G847" l="1"/>
  <c r="I847" s="1"/>
  <c r="I846"/>
  <c r="G816" l="1"/>
  <c r="H815"/>
  <c r="H816" s="1"/>
  <c r="H817" s="1"/>
  <c r="I817" s="1"/>
  <c r="J817" s="1"/>
  <c r="K817" s="1"/>
  <c r="L817" s="1"/>
  <c r="M817" s="1"/>
  <c r="N817" s="1"/>
  <c r="O817" s="1"/>
  <c r="P817" s="1"/>
  <c r="Q817" s="1"/>
  <c r="F815"/>
  <c r="D815" s="1"/>
  <c r="H787"/>
  <c r="H790" s="1"/>
  <c r="H793" s="1"/>
  <c r="H796" s="1"/>
  <c r="H799" s="1"/>
  <c r="H802" s="1"/>
  <c r="H805" s="1"/>
  <c r="H808" s="1"/>
  <c r="H811" s="1"/>
  <c r="H814" s="1"/>
  <c r="G787"/>
  <c r="G790" s="1"/>
  <c r="G793" s="1"/>
  <c r="G796" s="1"/>
  <c r="G799" s="1"/>
  <c r="G802" s="1"/>
  <c r="G805" s="1"/>
  <c r="G808" s="1"/>
  <c r="G811" s="1"/>
  <c r="G814" s="1"/>
  <c r="F787"/>
  <c r="F790" s="1"/>
  <c r="F793" s="1"/>
  <c r="F796" s="1"/>
  <c r="F799" s="1"/>
  <c r="F802" s="1"/>
  <c r="F805" s="1"/>
  <c r="F808" s="1"/>
  <c r="F811" s="1"/>
  <c r="F814" s="1"/>
  <c r="F786"/>
  <c r="F789" s="1"/>
  <c r="F792" s="1"/>
  <c r="F795" s="1"/>
  <c r="F798" s="1"/>
  <c r="F801" s="1"/>
  <c r="F804" s="1"/>
  <c r="F807" s="1"/>
  <c r="F810" s="1"/>
  <c r="F813" s="1"/>
  <c r="H785"/>
  <c r="H788" s="1"/>
  <c r="H791" s="1"/>
  <c r="H794" s="1"/>
  <c r="H797" s="1"/>
  <c r="G785"/>
  <c r="G788" s="1"/>
  <c r="G791" s="1"/>
  <c r="G794" s="1"/>
  <c r="G797" s="1"/>
  <c r="G800" s="1"/>
  <c r="G803" s="1"/>
  <c r="G806" s="1"/>
  <c r="G809" s="1"/>
  <c r="G812" s="1"/>
  <c r="F744"/>
  <c r="D744" s="1"/>
  <c r="F743"/>
  <c r="D743" s="1"/>
  <c r="F552"/>
  <c r="D552" s="1"/>
  <c r="F551"/>
  <c r="D551" s="1"/>
  <c r="F550"/>
  <c r="D550" s="1"/>
  <c r="F534"/>
  <c r="D534" s="1"/>
  <c r="F533"/>
  <c r="D533" s="1"/>
  <c r="F532"/>
  <c r="D532" s="1"/>
  <c r="F531"/>
  <c r="D531" s="1"/>
  <c r="F466"/>
  <c r="D466" s="1"/>
  <c r="F474"/>
  <c r="D474" s="1"/>
  <c r="F475"/>
  <c r="D475" s="1"/>
  <c r="F476"/>
  <c r="D476" s="1"/>
  <c r="F477"/>
  <c r="D477" s="1"/>
  <c r="F478"/>
  <c r="D478" s="1"/>
  <c r="F479"/>
  <c r="D479" s="1"/>
  <c r="F367"/>
  <c r="D367" s="1"/>
  <c r="F366"/>
  <c r="D366" s="1"/>
  <c r="F365"/>
  <c r="D365" s="1"/>
  <c r="F362"/>
  <c r="D362" s="1"/>
  <c r="F361"/>
  <c r="D361" s="1"/>
  <c r="F303"/>
  <c r="D303" s="1"/>
  <c r="F302"/>
  <c r="D302" s="1"/>
  <c r="F296"/>
  <c r="D296" s="1"/>
  <c r="F295"/>
  <c r="D295" s="1"/>
  <c r="F290"/>
  <c r="D290" s="1"/>
  <c r="F289"/>
  <c r="D289" s="1"/>
  <c r="F276"/>
  <c r="D276" s="1"/>
  <c r="F274"/>
  <c r="D274" s="1"/>
  <c r="F273"/>
  <c r="D273" s="1"/>
  <c r="F272"/>
  <c r="D272" s="1"/>
  <c r="F271"/>
  <c r="D271" s="1"/>
  <c r="F268"/>
  <c r="D268" s="1"/>
  <c r="F267"/>
  <c r="D267" s="1"/>
  <c r="F689"/>
  <c r="D689" s="1"/>
  <c r="F688"/>
  <c r="D688" s="1"/>
  <c r="F687"/>
  <c r="D687" s="1"/>
  <c r="F686"/>
  <c r="D686" s="1"/>
  <c r="F685"/>
  <c r="D685" s="1"/>
  <c r="F684"/>
  <c r="D684" s="1"/>
  <c r="F683"/>
  <c r="D683" s="1"/>
  <c r="F682"/>
  <c r="D682" s="1"/>
  <c r="F681"/>
  <c r="D681" s="1"/>
  <c r="F678"/>
  <c r="D678" s="1"/>
  <c r="F677"/>
  <c r="D677" s="1"/>
  <c r="F676"/>
  <c r="D676" s="1"/>
  <c r="D675"/>
  <c r="D674"/>
  <c r="D673"/>
  <c r="F662"/>
  <c r="F663" s="1"/>
  <c r="F664" s="1"/>
  <c r="F665" s="1"/>
  <c r="F666" s="1"/>
  <c r="F667" s="1"/>
  <c r="F668" s="1"/>
  <c r="F669" s="1"/>
  <c r="F670" s="1"/>
  <c r="F671" s="1"/>
  <c r="F672" s="1"/>
  <c r="E662"/>
  <c r="E663" s="1"/>
  <c r="E664" s="1"/>
  <c r="E665" s="1"/>
  <c r="E666" s="1"/>
  <c r="E667" s="1"/>
  <c r="E668" s="1"/>
  <c r="E669" s="1"/>
  <c r="E670" s="1"/>
  <c r="E671" s="1"/>
  <c r="E672" s="1"/>
  <c r="D661"/>
  <c r="D662" s="1"/>
  <c r="D663" s="1"/>
  <c r="D664" s="1"/>
  <c r="D665" s="1"/>
  <c r="D666" s="1"/>
  <c r="D667" s="1"/>
  <c r="D668" s="1"/>
  <c r="D669" s="1"/>
  <c r="D670" s="1"/>
  <c r="D671" s="1"/>
  <c r="D672" s="1"/>
  <c r="F660"/>
  <c r="D660" s="1"/>
  <c r="F659"/>
  <c r="D659" s="1"/>
  <c r="F658"/>
  <c r="D658" s="1"/>
  <c r="D657"/>
  <c r="D656"/>
  <c r="D655"/>
  <c r="F644"/>
  <c r="F645" s="1"/>
  <c r="F646" s="1"/>
  <c r="F647" s="1"/>
  <c r="F648" s="1"/>
  <c r="F649" s="1"/>
  <c r="F650" s="1"/>
  <c r="F651" s="1"/>
  <c r="F652" s="1"/>
  <c r="F653" s="1"/>
  <c r="F654" s="1"/>
  <c r="E644"/>
  <c r="E645" s="1"/>
  <c r="E646" s="1"/>
  <c r="E647" s="1"/>
  <c r="E648" s="1"/>
  <c r="E649" s="1"/>
  <c r="E650" s="1"/>
  <c r="E651" s="1"/>
  <c r="E652" s="1"/>
  <c r="E653" s="1"/>
  <c r="E654" s="1"/>
  <c r="D643"/>
  <c r="D644" s="1"/>
  <c r="D645" s="1"/>
  <c r="D646" s="1"/>
  <c r="D647" s="1"/>
  <c r="D648" s="1"/>
  <c r="D649" s="1"/>
  <c r="D650" s="1"/>
  <c r="D651" s="1"/>
  <c r="D652" s="1"/>
  <c r="D653" s="1"/>
  <c r="D654" s="1"/>
  <c r="F642"/>
  <c r="D642" s="1"/>
  <c r="F641"/>
  <c r="D641" s="1"/>
  <c r="F640"/>
  <c r="D640" s="1"/>
  <c r="D639"/>
  <c r="D638"/>
  <c r="D637"/>
  <c r="F626"/>
  <c r="F627" s="1"/>
  <c r="F628" s="1"/>
  <c r="F629" s="1"/>
  <c r="F630" s="1"/>
  <c r="F631" s="1"/>
  <c r="F632" s="1"/>
  <c r="F633" s="1"/>
  <c r="F634" s="1"/>
  <c r="F635" s="1"/>
  <c r="F636" s="1"/>
  <c r="E626"/>
  <c r="E627" s="1"/>
  <c r="E628" s="1"/>
  <c r="E629" s="1"/>
  <c r="E630" s="1"/>
  <c r="E631" s="1"/>
  <c r="E632" s="1"/>
  <c r="E633" s="1"/>
  <c r="E634" s="1"/>
  <c r="E635" s="1"/>
  <c r="E636" s="1"/>
  <c r="D625"/>
  <c r="D626" s="1"/>
  <c r="D627" s="1"/>
  <c r="D628" s="1"/>
  <c r="D629" s="1"/>
  <c r="D630" s="1"/>
  <c r="D631" s="1"/>
  <c r="D632" s="1"/>
  <c r="D633" s="1"/>
  <c r="D634" s="1"/>
  <c r="D635" s="1"/>
  <c r="D636" s="1"/>
  <c r="F624"/>
  <c r="D624" s="1"/>
  <c r="F623"/>
  <c r="D623" s="1"/>
  <c r="F622"/>
  <c r="D622" s="1"/>
  <c r="D621"/>
  <c r="D620"/>
  <c r="D619"/>
  <c r="F608"/>
  <c r="F609" s="1"/>
  <c r="F618" s="1"/>
  <c r="F610" s="1"/>
  <c r="F611" s="1"/>
  <c r="F612" s="1"/>
  <c r="F613" s="1"/>
  <c r="F614" s="1"/>
  <c r="F615" s="1"/>
  <c r="F616" s="1"/>
  <c r="F617" s="1"/>
  <c r="E608"/>
  <c r="E609" s="1"/>
  <c r="E618" s="1"/>
  <c r="E610" s="1"/>
  <c r="E611" s="1"/>
  <c r="E612" s="1"/>
  <c r="E613" s="1"/>
  <c r="E614" s="1"/>
  <c r="E615" s="1"/>
  <c r="E616" s="1"/>
  <c r="E617" s="1"/>
  <c r="H607"/>
  <c r="B619" s="1"/>
  <c r="G607"/>
  <c r="A619" s="1"/>
  <c r="D607"/>
  <c r="D608" s="1"/>
  <c r="D609" s="1"/>
  <c r="D618" s="1"/>
  <c r="D610" s="1"/>
  <c r="D611" s="1"/>
  <c r="D612" s="1"/>
  <c r="D613" s="1"/>
  <c r="D614" s="1"/>
  <c r="D615" s="1"/>
  <c r="D616" s="1"/>
  <c r="D617" s="1"/>
  <c r="F606"/>
  <c r="D606" s="1"/>
  <c r="F605"/>
  <c r="D605" s="1"/>
  <c r="F604"/>
  <c r="D604" s="1"/>
  <c r="D603"/>
  <c r="D602"/>
  <c r="D601"/>
  <c r="F590"/>
  <c r="F591" s="1"/>
  <c r="F592" s="1"/>
  <c r="F593" s="1"/>
  <c r="F594" s="1"/>
  <c r="F595" s="1"/>
  <c r="F596" s="1"/>
  <c r="F597" s="1"/>
  <c r="F598" s="1"/>
  <c r="F599" s="1"/>
  <c r="F600" s="1"/>
  <c r="E590"/>
  <c r="E591" s="1"/>
  <c r="E592" s="1"/>
  <c r="E593" s="1"/>
  <c r="E594" s="1"/>
  <c r="E595" s="1"/>
  <c r="E596" s="1"/>
  <c r="E597" s="1"/>
  <c r="E598" s="1"/>
  <c r="E599" s="1"/>
  <c r="E600" s="1"/>
  <c r="H589"/>
  <c r="B601" s="1"/>
  <c r="G589"/>
  <c r="A601" s="1"/>
  <c r="D589"/>
  <c r="D590" s="1"/>
  <c r="D591" s="1"/>
  <c r="D592" s="1"/>
  <c r="D593" s="1"/>
  <c r="D594" s="1"/>
  <c r="D595" s="1"/>
  <c r="D596" s="1"/>
  <c r="D597" s="1"/>
  <c r="D598" s="1"/>
  <c r="D599" s="1"/>
  <c r="D600" s="1"/>
  <c r="F588"/>
  <c r="D588" s="1"/>
  <c r="F587"/>
  <c r="D587" s="1"/>
  <c r="F586"/>
  <c r="D586" s="1"/>
  <c r="D585"/>
  <c r="D584"/>
  <c r="D583"/>
  <c r="F572"/>
  <c r="F573" s="1"/>
  <c r="F574" s="1"/>
  <c r="F575" s="1"/>
  <c r="F576" s="1"/>
  <c r="F577" s="1"/>
  <c r="F578" s="1"/>
  <c r="F579" s="1"/>
  <c r="F580" s="1"/>
  <c r="F581" s="1"/>
  <c r="F582" s="1"/>
  <c r="E572"/>
  <c r="E573" s="1"/>
  <c r="E574" s="1"/>
  <c r="E575" s="1"/>
  <c r="E576" s="1"/>
  <c r="E577" s="1"/>
  <c r="E578" s="1"/>
  <c r="E579" s="1"/>
  <c r="E580" s="1"/>
  <c r="E581" s="1"/>
  <c r="E582" s="1"/>
  <c r="H571"/>
  <c r="B583" s="1"/>
  <c r="G571"/>
  <c r="A583" s="1"/>
  <c r="D571"/>
  <c r="D572" s="1"/>
  <c r="D573" s="1"/>
  <c r="D574" s="1"/>
  <c r="D575" s="1"/>
  <c r="D576" s="1"/>
  <c r="D577" s="1"/>
  <c r="D578" s="1"/>
  <c r="D579" s="1"/>
  <c r="D580" s="1"/>
  <c r="D581" s="1"/>
  <c r="D582" s="1"/>
  <c r="F570"/>
  <c r="D570" s="1"/>
  <c r="F569"/>
  <c r="D569" s="1"/>
  <c r="F568"/>
  <c r="D568" s="1"/>
  <c r="D567"/>
  <c r="D566"/>
  <c r="D565"/>
  <c r="F554"/>
  <c r="F555" s="1"/>
  <c r="F556" s="1"/>
  <c r="F557" s="1"/>
  <c r="F558" s="1"/>
  <c r="F559" s="1"/>
  <c r="F560" s="1"/>
  <c r="F561" s="1"/>
  <c r="F562" s="1"/>
  <c r="F563" s="1"/>
  <c r="F564" s="1"/>
  <c r="E554"/>
  <c r="E555" s="1"/>
  <c r="E556" s="1"/>
  <c r="E557" s="1"/>
  <c r="E558" s="1"/>
  <c r="E559" s="1"/>
  <c r="E560" s="1"/>
  <c r="E561" s="1"/>
  <c r="E562" s="1"/>
  <c r="E563" s="1"/>
  <c r="E564" s="1"/>
  <c r="D553"/>
  <c r="D554" s="1"/>
  <c r="D555" s="1"/>
  <c r="D556" s="1"/>
  <c r="D557" s="1"/>
  <c r="D558" s="1"/>
  <c r="D559" s="1"/>
  <c r="D560" s="1"/>
  <c r="D561" s="1"/>
  <c r="D562" s="1"/>
  <c r="D563" s="1"/>
  <c r="D564" s="1"/>
  <c r="D549"/>
  <c r="D548"/>
  <c r="D547"/>
  <c r="F536"/>
  <c r="F537" s="1"/>
  <c r="F538" s="1"/>
  <c r="F539" s="1"/>
  <c r="F540" s="1"/>
  <c r="F541" s="1"/>
  <c r="F542" s="1"/>
  <c r="F543" s="1"/>
  <c r="F544" s="1"/>
  <c r="F545" s="1"/>
  <c r="F546" s="1"/>
  <c r="E536"/>
  <c r="E537" s="1"/>
  <c r="E538" s="1"/>
  <c r="E539" s="1"/>
  <c r="E540" s="1"/>
  <c r="E541" s="1"/>
  <c r="E542" s="1"/>
  <c r="E543" s="1"/>
  <c r="E544" s="1"/>
  <c r="E545" s="1"/>
  <c r="E546" s="1"/>
  <c r="D535"/>
  <c r="D536" s="1"/>
  <c r="D537" s="1"/>
  <c r="D538" s="1"/>
  <c r="D539" s="1"/>
  <c r="D540" s="1"/>
  <c r="D541" s="1"/>
  <c r="D542" s="1"/>
  <c r="D543" s="1"/>
  <c r="D544" s="1"/>
  <c r="D545" s="1"/>
  <c r="D546" s="1"/>
  <c r="D530"/>
  <c r="D529"/>
  <c r="D528"/>
  <c r="D527"/>
  <c r="D526"/>
  <c r="D525"/>
  <c r="D523"/>
  <c r="D522"/>
  <c r="D521"/>
  <c r="D520"/>
  <c r="D518"/>
  <c r="D517"/>
  <c r="D516"/>
  <c r="D515"/>
  <c r="D514"/>
  <c r="D513"/>
  <c r="D512"/>
  <c r="D511"/>
  <c r="D510"/>
  <c r="D508"/>
  <c r="D507"/>
  <c r="D506"/>
  <c r="D504"/>
  <c r="D503"/>
  <c r="D502"/>
  <c r="D501"/>
  <c r="D500"/>
  <c r="D499"/>
  <c r="D498"/>
  <c r="D497"/>
  <c r="D496"/>
  <c r="D495"/>
  <c r="B495"/>
  <c r="A495"/>
  <c r="D494"/>
  <c r="N493"/>
  <c r="D493"/>
  <c r="H492"/>
  <c r="G492"/>
  <c r="D492"/>
  <c r="H499"/>
  <c r="J499" s="1"/>
  <c r="G499"/>
  <c r="I499" s="1"/>
  <c r="D491"/>
  <c r="I485"/>
  <c r="D740"/>
  <c r="D739"/>
  <c r="D738"/>
  <c r="D737"/>
  <c r="D736"/>
  <c r="D734"/>
  <c r="L733"/>
  <c r="K733"/>
  <c r="H710"/>
  <c r="J710" s="1"/>
  <c r="G724"/>
  <c r="D733"/>
  <c r="D728"/>
  <c r="D727"/>
  <c r="D726"/>
  <c r="D725"/>
  <c r="D724"/>
  <c r="D723"/>
  <c r="D721"/>
  <c r="D720"/>
  <c r="D719"/>
  <c r="D718"/>
  <c r="D716"/>
  <c r="D715"/>
  <c r="D714"/>
  <c r="D712"/>
  <c r="D711"/>
  <c r="D710"/>
  <c r="D708"/>
  <c r="D707"/>
  <c r="D706"/>
  <c r="H705"/>
  <c r="H743" s="1"/>
  <c r="D705"/>
  <c r="D704"/>
  <c r="H703"/>
  <c r="H741" s="1"/>
  <c r="D703"/>
  <c r="B703"/>
  <c r="B704" s="1"/>
  <c r="B705" s="1"/>
  <c r="B706" s="1"/>
  <c r="A703"/>
  <c r="A704" s="1"/>
  <c r="A705" s="1"/>
  <c r="A706" s="1"/>
  <c r="H702"/>
  <c r="J702" s="1"/>
  <c r="G702"/>
  <c r="I702" s="1"/>
  <c r="D702"/>
  <c r="H701"/>
  <c r="J701" s="1"/>
  <c r="G701"/>
  <c r="I701" s="1"/>
  <c r="D701"/>
  <c r="B699"/>
  <c r="I695"/>
  <c r="F470"/>
  <c r="D470" s="1"/>
  <c r="F465"/>
  <c r="D465" s="1"/>
  <c r="D462"/>
  <c r="D461"/>
  <c r="D460"/>
  <c r="D459"/>
  <c r="D458"/>
  <c r="D457"/>
  <c r="D456"/>
  <c r="D455"/>
  <c r="D454"/>
  <c r="D453"/>
  <c r="D452"/>
  <c r="D451"/>
  <c r="D449"/>
  <c r="H448"/>
  <c r="J448" s="1"/>
  <c r="G448"/>
  <c r="A455" s="1"/>
  <c r="A461" s="1"/>
  <c r="D448"/>
  <c r="D447"/>
  <c r="H446"/>
  <c r="J446" s="1"/>
  <c r="G446"/>
  <c r="A453" s="1"/>
  <c r="A459" s="1"/>
  <c r="D446"/>
  <c r="H445"/>
  <c r="B452" s="1"/>
  <c r="B458" s="1"/>
  <c r="G445"/>
  <c r="I445" s="1"/>
  <c r="D445"/>
  <c r="H444"/>
  <c r="J444" s="1"/>
  <c r="G444"/>
  <c r="A451" s="1"/>
  <c r="A457" s="1"/>
  <c r="D444"/>
  <c r="D441"/>
  <c r="D440"/>
  <c r="D439"/>
  <c r="B439"/>
  <c r="A439"/>
  <c r="D437"/>
  <c r="D436"/>
  <c r="D434"/>
  <c r="D433"/>
  <c r="H432"/>
  <c r="J432" s="1"/>
  <c r="G432"/>
  <c r="A440" s="1"/>
  <c r="D432"/>
  <c r="J431"/>
  <c r="H449" s="1"/>
  <c r="I431"/>
  <c r="G449" s="1"/>
  <c r="D431"/>
  <c r="I426"/>
  <c r="H493" l="1"/>
  <c r="J493" s="1"/>
  <c r="J492"/>
  <c r="H723"/>
  <c r="N733"/>
  <c r="P733" s="1"/>
  <c r="G493"/>
  <c r="I493" s="1"/>
  <c r="I492"/>
  <c r="G723"/>
  <c r="M733"/>
  <c r="O733" s="1"/>
  <c r="G705"/>
  <c r="I743" s="1"/>
  <c r="G710"/>
  <c r="I710" s="1"/>
  <c r="H495"/>
  <c r="H531" s="1"/>
  <c r="B440"/>
  <c r="B455"/>
  <c r="B461" s="1"/>
  <c r="G703"/>
  <c r="L703" s="1"/>
  <c r="G711"/>
  <c r="F472"/>
  <c r="D472" s="1"/>
  <c r="F468"/>
  <c r="D468" s="1"/>
  <c r="F464"/>
  <c r="D464" s="1"/>
  <c r="H433"/>
  <c r="B441" s="1"/>
  <c r="B451"/>
  <c r="B457" s="1"/>
  <c r="A452"/>
  <c r="A458" s="1"/>
  <c r="B453"/>
  <c r="B459" s="1"/>
  <c r="F473"/>
  <c r="D473" s="1"/>
  <c r="F469"/>
  <c r="D469" s="1"/>
  <c r="F467"/>
  <c r="D467" s="1"/>
  <c r="I816"/>
  <c r="J816" s="1"/>
  <c r="K816" s="1"/>
  <c r="L816" s="1"/>
  <c r="M816" s="1"/>
  <c r="N816" s="1"/>
  <c r="O816" s="1"/>
  <c r="P816" s="1"/>
  <c r="Q816" s="1"/>
  <c r="G610"/>
  <c r="G553"/>
  <c r="A565" s="1"/>
  <c r="G592"/>
  <c r="H626"/>
  <c r="B638" s="1"/>
  <c r="H609"/>
  <c r="B621" s="1"/>
  <c r="H572"/>
  <c r="B584" s="1"/>
  <c r="B497"/>
  <c r="H494"/>
  <c r="J494" s="1"/>
  <c r="J607"/>
  <c r="H619" s="1"/>
  <c r="J571"/>
  <c r="H583" s="1"/>
  <c r="J589"/>
  <c r="H601" s="1"/>
  <c r="G625"/>
  <c r="A637" s="1"/>
  <c r="G608"/>
  <c r="A620" s="1"/>
  <c r="G590"/>
  <c r="A602" s="1"/>
  <c r="G495"/>
  <c r="A496"/>
  <c r="H507"/>
  <c r="J507" s="1"/>
  <c r="I589"/>
  <c r="G601" s="1"/>
  <c r="I607"/>
  <c r="G619" s="1"/>
  <c r="I571"/>
  <c r="G583" s="1"/>
  <c r="G525"/>
  <c r="H625"/>
  <c r="B637" s="1"/>
  <c r="H590"/>
  <c r="B602" s="1"/>
  <c r="H608"/>
  <c r="B620" s="1"/>
  <c r="G626"/>
  <c r="A638" s="1"/>
  <c r="G609"/>
  <c r="A621" s="1"/>
  <c r="G572"/>
  <c r="A584" s="1"/>
  <c r="H610"/>
  <c r="H592"/>
  <c r="H553"/>
  <c r="B565" s="1"/>
  <c r="G494"/>
  <c r="I494" s="1"/>
  <c r="B496"/>
  <c r="A497"/>
  <c r="G507"/>
  <c r="I507" s="1"/>
  <c r="H525"/>
  <c r="G725"/>
  <c r="G707"/>
  <c r="G704"/>
  <c r="J734"/>
  <c r="H734" s="1"/>
  <c r="R734" s="1"/>
  <c r="H706"/>
  <c r="H704"/>
  <c r="H725"/>
  <c r="H707"/>
  <c r="I734"/>
  <c r="G734" s="1"/>
  <c r="Q734" s="1"/>
  <c r="G706"/>
  <c r="J705"/>
  <c r="L705"/>
  <c r="I705"/>
  <c r="H711"/>
  <c r="J711" s="1"/>
  <c r="H724"/>
  <c r="I449"/>
  <c r="A456"/>
  <c r="A462" s="1"/>
  <c r="H466"/>
  <c r="H440"/>
  <c r="H434"/>
  <c r="J434" s="1"/>
  <c r="L432"/>
  <c r="H451"/>
  <c r="L444"/>
  <c r="N444" s="1"/>
  <c r="H457" s="1"/>
  <c r="G452"/>
  <c r="K445"/>
  <c r="M445" s="1"/>
  <c r="G458" s="1"/>
  <c r="H453"/>
  <c r="L446"/>
  <c r="N446" s="1"/>
  <c r="H459" s="1"/>
  <c r="H455"/>
  <c r="L448"/>
  <c r="N448" s="1"/>
  <c r="H461" s="1"/>
  <c r="B456"/>
  <c r="B462" s="1"/>
  <c r="J449"/>
  <c r="L431"/>
  <c r="N431" s="1"/>
  <c r="I432"/>
  <c r="H436"/>
  <c r="J436" s="1"/>
  <c r="L436" s="1"/>
  <c r="H439"/>
  <c r="I444"/>
  <c r="J445"/>
  <c r="I446"/>
  <c r="I448"/>
  <c r="K431"/>
  <c r="M431" s="1"/>
  <c r="G433"/>
  <c r="G436"/>
  <c r="I436" s="1"/>
  <c r="K436" s="1"/>
  <c r="G439"/>
  <c r="I439" s="1"/>
  <c r="G394"/>
  <c r="H390"/>
  <c r="J390" s="1"/>
  <c r="G390"/>
  <c r="I390" s="1"/>
  <c r="I389"/>
  <c r="H389"/>
  <c r="J389" s="1"/>
  <c r="J388"/>
  <c r="G388"/>
  <c r="I388" s="1"/>
  <c r="J387"/>
  <c r="I387"/>
  <c r="I386"/>
  <c r="H386"/>
  <c r="J384"/>
  <c r="I384"/>
  <c r="H384"/>
  <c r="I383"/>
  <c r="H383"/>
  <c r="J383" s="1"/>
  <c r="I382"/>
  <c r="G385" s="1"/>
  <c r="I385" s="1"/>
  <c r="J381"/>
  <c r="G368"/>
  <c r="J364"/>
  <c r="I364"/>
  <c r="G364"/>
  <c r="J363"/>
  <c r="I310"/>
  <c r="K310" s="1"/>
  <c r="M310" s="1"/>
  <c r="O310" s="1"/>
  <c r="Q310" s="1"/>
  <c r="S310" s="1"/>
  <c r="U310" s="1"/>
  <c r="D310"/>
  <c r="G298"/>
  <c r="I297"/>
  <c r="J297" s="1"/>
  <c r="G293"/>
  <c r="J291"/>
  <c r="I711" l="1"/>
  <c r="G712" s="1"/>
  <c r="I712" s="1"/>
  <c r="K705"/>
  <c r="J495"/>
  <c r="G721"/>
  <c r="J433"/>
  <c r="H447" s="1"/>
  <c r="I703"/>
  <c r="J703"/>
  <c r="I292"/>
  <c r="K703"/>
  <c r="I741"/>
  <c r="G617"/>
  <c r="G555"/>
  <c r="A566" s="1"/>
  <c r="G575"/>
  <c r="I626"/>
  <c r="G638" s="1"/>
  <c r="I572"/>
  <c r="G584" s="1"/>
  <c r="I609"/>
  <c r="G621" s="1"/>
  <c r="G526"/>
  <c r="G506"/>
  <c r="I506" s="1"/>
  <c r="G501"/>
  <c r="I501" s="1"/>
  <c r="G497"/>
  <c r="I586"/>
  <c r="K583"/>
  <c r="I583"/>
  <c r="K601"/>
  <c r="I601"/>
  <c r="I604"/>
  <c r="H617"/>
  <c r="H575"/>
  <c r="H555"/>
  <c r="B566" s="1"/>
  <c r="I531"/>
  <c r="K495"/>
  <c r="I495"/>
  <c r="L583"/>
  <c r="J583"/>
  <c r="H586"/>
  <c r="H627"/>
  <c r="B639" s="1"/>
  <c r="H573"/>
  <c r="B585" s="1"/>
  <c r="H591"/>
  <c r="B603" s="1"/>
  <c r="B498"/>
  <c r="L495"/>
  <c r="H598"/>
  <c r="H581"/>
  <c r="H562"/>
  <c r="B567" s="1"/>
  <c r="J592"/>
  <c r="J610"/>
  <c r="J553"/>
  <c r="H565" s="1"/>
  <c r="H528"/>
  <c r="H500"/>
  <c r="J500" s="1"/>
  <c r="G627"/>
  <c r="A639" s="1"/>
  <c r="G591"/>
  <c r="A603" s="1"/>
  <c r="G573"/>
  <c r="A585" s="1"/>
  <c r="A498"/>
  <c r="J625"/>
  <c r="H637" s="1"/>
  <c r="J608"/>
  <c r="H620" s="1"/>
  <c r="J590"/>
  <c r="H602" s="1"/>
  <c r="H527"/>
  <c r="H503"/>
  <c r="J503" s="1"/>
  <c r="H496"/>
  <c r="G598"/>
  <c r="G581"/>
  <c r="G562"/>
  <c r="A567" s="1"/>
  <c r="I622"/>
  <c r="K619"/>
  <c r="I619"/>
  <c r="I625"/>
  <c r="G637" s="1"/>
  <c r="I608"/>
  <c r="G620" s="1"/>
  <c r="I590"/>
  <c r="G602" s="1"/>
  <c r="G527"/>
  <c r="G496"/>
  <c r="G503"/>
  <c r="I503" s="1"/>
  <c r="H604"/>
  <c r="J601"/>
  <c r="L601"/>
  <c r="L619"/>
  <c r="J619"/>
  <c r="H622"/>
  <c r="J626"/>
  <c r="H638" s="1"/>
  <c r="J609"/>
  <c r="H621" s="1"/>
  <c r="J572"/>
  <c r="H584" s="1"/>
  <c r="H526"/>
  <c r="H506"/>
  <c r="J506" s="1"/>
  <c r="H501"/>
  <c r="J501" s="1"/>
  <c r="H497"/>
  <c r="I610"/>
  <c r="I553"/>
  <c r="G565" s="1"/>
  <c r="I592"/>
  <c r="G500"/>
  <c r="I500" s="1"/>
  <c r="G528"/>
  <c r="G728"/>
  <c r="H728"/>
  <c r="I740"/>
  <c r="I738"/>
  <c r="I736"/>
  <c r="I739"/>
  <c r="I737"/>
  <c r="K734"/>
  <c r="M734" s="1"/>
  <c r="O734" s="1"/>
  <c r="G714"/>
  <c r="I714" s="1"/>
  <c r="H744"/>
  <c r="L706"/>
  <c r="J706"/>
  <c r="I742"/>
  <c r="K704"/>
  <c r="I704"/>
  <c r="G726"/>
  <c r="H721"/>
  <c r="H712"/>
  <c r="J712" s="1"/>
  <c r="H726"/>
  <c r="I744"/>
  <c r="K706"/>
  <c r="I706"/>
  <c r="H708"/>
  <c r="J708" s="1"/>
  <c r="J707"/>
  <c r="H742"/>
  <c r="L704"/>
  <c r="J704"/>
  <c r="J739"/>
  <c r="J737"/>
  <c r="L734"/>
  <c r="N734" s="1"/>
  <c r="P734" s="1"/>
  <c r="H714"/>
  <c r="J714" s="1"/>
  <c r="J740"/>
  <c r="J738"/>
  <c r="J736"/>
  <c r="I707"/>
  <c r="G708"/>
  <c r="I708" s="1"/>
  <c r="K439"/>
  <c r="G463"/>
  <c r="I433"/>
  <c r="A441"/>
  <c r="G455"/>
  <c r="J455" s="1"/>
  <c r="K448"/>
  <c r="M448" s="1"/>
  <c r="G461" s="1"/>
  <c r="J461" s="1"/>
  <c r="H452"/>
  <c r="K452" s="1"/>
  <c r="L445"/>
  <c r="N445" s="1"/>
  <c r="H458" s="1"/>
  <c r="I458" s="1"/>
  <c r="H463"/>
  <c r="L439"/>
  <c r="J439"/>
  <c r="H472"/>
  <c r="H464"/>
  <c r="I463"/>
  <c r="G456"/>
  <c r="K449"/>
  <c r="M449" s="1"/>
  <c r="G462" s="1"/>
  <c r="G453"/>
  <c r="K446"/>
  <c r="M446" s="1"/>
  <c r="G459" s="1"/>
  <c r="L459" s="1"/>
  <c r="G451"/>
  <c r="J451" s="1"/>
  <c r="K444"/>
  <c r="M444" s="1"/>
  <c r="G457" s="1"/>
  <c r="J457" s="1"/>
  <c r="I466"/>
  <c r="G440"/>
  <c r="J440" s="1"/>
  <c r="G434"/>
  <c r="I434" s="1"/>
  <c r="K432"/>
  <c r="H456"/>
  <c r="L449"/>
  <c r="N449" s="1"/>
  <c r="H462" s="1"/>
  <c r="H469"/>
  <c r="H467"/>
  <c r="I471"/>
  <c r="G294"/>
  <c r="I294" s="1"/>
  <c r="I293"/>
  <c r="I270"/>
  <c r="J269"/>
  <c r="H437" l="1"/>
  <c r="J437" s="1"/>
  <c r="I452"/>
  <c r="L455"/>
  <c r="K458"/>
  <c r="L461"/>
  <c r="H441"/>
  <c r="H471" s="1"/>
  <c r="L433"/>
  <c r="N433" s="1"/>
  <c r="L440"/>
  <c r="L457"/>
  <c r="J459"/>
  <c r="G643"/>
  <c r="G611"/>
  <c r="G554"/>
  <c r="K565"/>
  <c r="I565"/>
  <c r="I568"/>
  <c r="L497"/>
  <c r="J497"/>
  <c r="H533"/>
  <c r="H663"/>
  <c r="B674" s="1"/>
  <c r="H616"/>
  <c r="H574"/>
  <c r="H587"/>
  <c r="L584"/>
  <c r="J584"/>
  <c r="H641"/>
  <c r="L638"/>
  <c r="J638"/>
  <c r="I532"/>
  <c r="K496"/>
  <c r="I496"/>
  <c r="K602"/>
  <c r="I605"/>
  <c r="I602"/>
  <c r="K637"/>
  <c r="I637"/>
  <c r="I640"/>
  <c r="H645"/>
  <c r="H614"/>
  <c r="H593"/>
  <c r="H504"/>
  <c r="J504" s="1"/>
  <c r="H605"/>
  <c r="L602"/>
  <c r="J602"/>
  <c r="H640"/>
  <c r="L637"/>
  <c r="J637"/>
  <c r="I627"/>
  <c r="G639" s="1"/>
  <c r="I591"/>
  <c r="G603" s="1"/>
  <c r="I573"/>
  <c r="G585" s="1"/>
  <c r="G510"/>
  <c r="I510" s="1"/>
  <c r="G498"/>
  <c r="H643"/>
  <c r="H611"/>
  <c r="H554"/>
  <c r="H568"/>
  <c r="L565"/>
  <c r="J565"/>
  <c r="J617"/>
  <c r="J575"/>
  <c r="J555"/>
  <c r="H566" s="1"/>
  <c r="H523"/>
  <c r="H508"/>
  <c r="J508" s="1"/>
  <c r="I533"/>
  <c r="K497"/>
  <c r="I497"/>
  <c r="G663"/>
  <c r="A674" s="1"/>
  <c r="G616"/>
  <c r="G574"/>
  <c r="I624"/>
  <c r="K621"/>
  <c r="I621"/>
  <c r="I641"/>
  <c r="K638"/>
  <c r="I638"/>
  <c r="G652"/>
  <c r="G563"/>
  <c r="G600"/>
  <c r="H628"/>
  <c r="H661"/>
  <c r="B673" s="1"/>
  <c r="H612"/>
  <c r="H670"/>
  <c r="B675" s="1"/>
  <c r="H634"/>
  <c r="H582"/>
  <c r="L621"/>
  <c r="J621"/>
  <c r="H624"/>
  <c r="G614"/>
  <c r="G645"/>
  <c r="G593"/>
  <c r="G504"/>
  <c r="I504" s="1"/>
  <c r="G635"/>
  <c r="G599"/>
  <c r="G651"/>
  <c r="G657" s="1"/>
  <c r="I623"/>
  <c r="K620"/>
  <c r="I620"/>
  <c r="H532"/>
  <c r="L496"/>
  <c r="J496"/>
  <c r="H651"/>
  <c r="H657" s="1"/>
  <c r="H635"/>
  <c r="H599"/>
  <c r="H623"/>
  <c r="L620"/>
  <c r="J620"/>
  <c r="H600"/>
  <c r="H652"/>
  <c r="H563"/>
  <c r="J627"/>
  <c r="H639" s="1"/>
  <c r="J573"/>
  <c r="H585" s="1"/>
  <c r="J591"/>
  <c r="H603" s="1"/>
  <c r="H510"/>
  <c r="J510" s="1"/>
  <c r="H498"/>
  <c r="G661"/>
  <c r="A673" s="1"/>
  <c r="G612"/>
  <c r="G628"/>
  <c r="G670"/>
  <c r="A675" s="1"/>
  <c r="G634"/>
  <c r="G582"/>
  <c r="I587"/>
  <c r="K584"/>
  <c r="I584"/>
  <c r="I617"/>
  <c r="I555"/>
  <c r="G566" s="1"/>
  <c r="I575"/>
  <c r="G523"/>
  <c r="G508"/>
  <c r="I508" s="1"/>
  <c r="J725"/>
  <c r="H715"/>
  <c r="H719"/>
  <c r="J719" s="1"/>
  <c r="J723"/>
  <c r="L739"/>
  <c r="L736"/>
  <c r="L738"/>
  <c r="L740"/>
  <c r="L737"/>
  <c r="G718"/>
  <c r="I718" s="1"/>
  <c r="G739"/>
  <c r="G737"/>
  <c r="I724"/>
  <c r="G740"/>
  <c r="G736"/>
  <c r="G738"/>
  <c r="J724"/>
  <c r="H718"/>
  <c r="J718" s="1"/>
  <c r="H739"/>
  <c r="H736"/>
  <c r="H738"/>
  <c r="H740"/>
  <c r="H737"/>
  <c r="H727"/>
  <c r="G727"/>
  <c r="I725"/>
  <c r="G715"/>
  <c r="I723"/>
  <c r="K739"/>
  <c r="K737"/>
  <c r="G719"/>
  <c r="I719" s="1"/>
  <c r="K740"/>
  <c r="K736"/>
  <c r="K738"/>
  <c r="H473"/>
  <c r="L456"/>
  <c r="J456"/>
  <c r="K451"/>
  <c r="I451"/>
  <c r="I464"/>
  <c r="K453"/>
  <c r="I453"/>
  <c r="K456"/>
  <c r="I456"/>
  <c r="I473"/>
  <c r="J471"/>
  <c r="L458"/>
  <c r="J458"/>
  <c r="I469"/>
  <c r="K461"/>
  <c r="I461"/>
  <c r="L451"/>
  <c r="L453"/>
  <c r="H470"/>
  <c r="L462"/>
  <c r="J462"/>
  <c r="K440"/>
  <c r="I440"/>
  <c r="K457"/>
  <c r="I457"/>
  <c r="I467"/>
  <c r="K459"/>
  <c r="I459"/>
  <c r="K462"/>
  <c r="I462"/>
  <c r="I470"/>
  <c r="B454"/>
  <c r="B460" s="1"/>
  <c r="J447"/>
  <c r="J463"/>
  <c r="L452"/>
  <c r="J452"/>
  <c r="I472"/>
  <c r="K455"/>
  <c r="I455"/>
  <c r="G447"/>
  <c r="G441"/>
  <c r="K433"/>
  <c r="M433" s="1"/>
  <c r="G437"/>
  <c r="I437" s="1"/>
  <c r="J453"/>
  <c r="G669" l="1"/>
  <c r="G580"/>
  <c r="G561"/>
  <c r="I569"/>
  <c r="K566"/>
  <c r="I566"/>
  <c r="I661"/>
  <c r="G673" s="1"/>
  <c r="I612"/>
  <c r="I628"/>
  <c r="G502"/>
  <c r="I502" s="1"/>
  <c r="G530"/>
  <c r="H534"/>
  <c r="L498"/>
  <c r="J498"/>
  <c r="H606"/>
  <c r="J603"/>
  <c r="L603"/>
  <c r="H642"/>
  <c r="L639"/>
  <c r="J639"/>
  <c r="I660"/>
  <c r="G646"/>
  <c r="G629"/>
  <c r="G615"/>
  <c r="J628"/>
  <c r="J661"/>
  <c r="H673" s="1"/>
  <c r="J612"/>
  <c r="H530"/>
  <c r="H502"/>
  <c r="J502" s="1"/>
  <c r="H664"/>
  <c r="H618"/>
  <c r="H556"/>
  <c r="H569"/>
  <c r="L566"/>
  <c r="J566"/>
  <c r="J643"/>
  <c r="J611"/>
  <c r="J554"/>
  <c r="H529"/>
  <c r="I534"/>
  <c r="K498"/>
  <c r="I498"/>
  <c r="I588"/>
  <c r="K585"/>
  <c r="I585"/>
  <c r="K639"/>
  <c r="I639"/>
  <c r="I642"/>
  <c r="J645"/>
  <c r="J614"/>
  <c r="J593"/>
  <c r="G618"/>
  <c r="G664"/>
  <c r="G556"/>
  <c r="H594"/>
  <c r="H576"/>
  <c r="H535"/>
  <c r="B547" s="1"/>
  <c r="H511"/>
  <c r="J511" s="1"/>
  <c r="L585"/>
  <c r="J585"/>
  <c r="H588"/>
  <c r="H660"/>
  <c r="I614"/>
  <c r="I645"/>
  <c r="I593"/>
  <c r="I663"/>
  <c r="G674" s="1"/>
  <c r="I616"/>
  <c r="I574"/>
  <c r="H669"/>
  <c r="H580"/>
  <c r="H561"/>
  <c r="G576"/>
  <c r="G594"/>
  <c r="G535"/>
  <c r="A547" s="1"/>
  <c r="G511"/>
  <c r="I511" s="1"/>
  <c r="K603"/>
  <c r="I603"/>
  <c r="I606"/>
  <c r="H615"/>
  <c r="H646"/>
  <c r="H629"/>
  <c r="J663"/>
  <c r="H674" s="1"/>
  <c r="J616"/>
  <c r="J574"/>
  <c r="I643"/>
  <c r="I611"/>
  <c r="I554"/>
  <c r="G529"/>
  <c r="G720"/>
  <c r="I720" s="1"/>
  <c r="I721"/>
  <c r="J728"/>
  <c r="R737"/>
  <c r="R740"/>
  <c r="R736"/>
  <c r="R739"/>
  <c r="R738"/>
  <c r="J726"/>
  <c r="N739"/>
  <c r="N738"/>
  <c r="N737"/>
  <c r="N740"/>
  <c r="N736"/>
  <c r="I726"/>
  <c r="M738"/>
  <c r="M737"/>
  <c r="M740"/>
  <c r="M736"/>
  <c r="M739"/>
  <c r="I715"/>
  <c r="G716"/>
  <c r="I716" s="1"/>
  <c r="I728"/>
  <c r="Q738"/>
  <c r="Q739"/>
  <c r="Q740"/>
  <c r="Q736"/>
  <c r="Q737"/>
  <c r="J721"/>
  <c r="H720"/>
  <c r="J720" s="1"/>
  <c r="H716"/>
  <c r="J716" s="1"/>
  <c r="J715"/>
  <c r="K441"/>
  <c r="I441"/>
  <c r="G471"/>
  <c r="H454"/>
  <c r="L447"/>
  <c r="N447" s="1"/>
  <c r="H460" s="1"/>
  <c r="J441"/>
  <c r="I447"/>
  <c r="A454"/>
  <c r="A460" s="1"/>
  <c r="L441"/>
  <c r="J615" l="1"/>
  <c r="J646"/>
  <c r="J629"/>
  <c r="I576"/>
  <c r="I594"/>
  <c r="I535"/>
  <c r="G547" s="1"/>
  <c r="I525"/>
  <c r="G521"/>
  <c r="I521" s="1"/>
  <c r="G513"/>
  <c r="I513" s="1"/>
  <c r="H630"/>
  <c r="H595"/>
  <c r="H536"/>
  <c r="B548" s="1"/>
  <c r="H512"/>
  <c r="J512" s="1"/>
  <c r="I618"/>
  <c r="I664"/>
  <c r="I556"/>
  <c r="H653"/>
  <c r="H671"/>
  <c r="H564"/>
  <c r="H672"/>
  <c r="H636"/>
  <c r="H654"/>
  <c r="H676"/>
  <c r="L673"/>
  <c r="J673"/>
  <c r="I646"/>
  <c r="I629"/>
  <c r="I615"/>
  <c r="G654"/>
  <c r="G672"/>
  <c r="G636"/>
  <c r="K673"/>
  <c r="I673"/>
  <c r="I676"/>
  <c r="G671"/>
  <c r="G653"/>
  <c r="G564"/>
  <c r="H677"/>
  <c r="L674"/>
  <c r="J674"/>
  <c r="G630"/>
  <c r="G595"/>
  <c r="G536"/>
  <c r="A548" s="1"/>
  <c r="G512"/>
  <c r="I512" s="1"/>
  <c r="I677"/>
  <c r="K674"/>
  <c r="I674"/>
  <c r="J594"/>
  <c r="J576"/>
  <c r="H521"/>
  <c r="J521" s="1"/>
  <c r="H513"/>
  <c r="J513" s="1"/>
  <c r="J535"/>
  <c r="H547" s="1"/>
  <c r="J525"/>
  <c r="J664"/>
  <c r="J618"/>
  <c r="J556"/>
  <c r="H662"/>
  <c r="H613"/>
  <c r="H644"/>
  <c r="G644"/>
  <c r="G662"/>
  <c r="G613"/>
  <c r="J727"/>
  <c r="P737"/>
  <c r="P738"/>
  <c r="P739"/>
  <c r="P740"/>
  <c r="P736"/>
  <c r="I727"/>
  <c r="O738"/>
  <c r="O737"/>
  <c r="O740"/>
  <c r="O736"/>
  <c r="O739"/>
  <c r="G454"/>
  <c r="L454" s="1"/>
  <c r="K447"/>
  <c r="M447" s="1"/>
  <c r="G460" s="1"/>
  <c r="J460" s="1"/>
  <c r="H468"/>
  <c r="H465"/>
  <c r="G222"/>
  <c r="I221"/>
  <c r="I222" s="1"/>
  <c r="G219"/>
  <c r="I218"/>
  <c r="I219" s="1"/>
  <c r="J214"/>
  <c r="I214"/>
  <c r="G214"/>
  <c r="J212"/>
  <c r="I212"/>
  <c r="G212"/>
  <c r="L210"/>
  <c r="N210" s="1"/>
  <c r="J210"/>
  <c r="M209"/>
  <c r="J209"/>
  <c r="L209" s="1"/>
  <c r="H209"/>
  <c r="N209" s="1"/>
  <c r="N206"/>
  <c r="M206"/>
  <c r="L206"/>
  <c r="A206"/>
  <c r="N205"/>
  <c r="M205"/>
  <c r="L205"/>
  <c r="A205"/>
  <c r="G203"/>
  <c r="H202"/>
  <c r="H210" s="1"/>
  <c r="P210" s="1"/>
  <c r="G202"/>
  <c r="K210" s="1"/>
  <c r="M210" s="1"/>
  <c r="O210" s="1"/>
  <c r="N201"/>
  <c r="M201"/>
  <c r="L201"/>
  <c r="A201"/>
  <c r="M200"/>
  <c r="J200"/>
  <c r="L200" s="1"/>
  <c r="H200"/>
  <c r="N200" s="1"/>
  <c r="G200"/>
  <c r="N199"/>
  <c r="M199"/>
  <c r="L199"/>
  <c r="A199"/>
  <c r="A198"/>
  <c r="G196"/>
  <c r="G171"/>
  <c r="A174"/>
  <c r="L174"/>
  <c r="M174"/>
  <c r="N174"/>
  <c r="G175"/>
  <c r="H175"/>
  <c r="N175" s="1"/>
  <c r="J175"/>
  <c r="L175" s="1"/>
  <c r="M175"/>
  <c r="G176"/>
  <c r="A178"/>
  <c r="L178"/>
  <c r="M178"/>
  <c r="N178"/>
  <c r="H181"/>
  <c r="N181" s="1"/>
  <c r="J181"/>
  <c r="L181" s="1"/>
  <c r="M181"/>
  <c r="G183"/>
  <c r="I183"/>
  <c r="J183"/>
  <c r="L460" l="1"/>
  <c r="A200"/>
  <c r="J454"/>
  <c r="A175"/>
  <c r="L202"/>
  <c r="A209"/>
  <c r="J598"/>
  <c r="J581"/>
  <c r="J562"/>
  <c r="H567" s="1"/>
  <c r="H596"/>
  <c r="H557"/>
  <c r="H538"/>
  <c r="G631"/>
  <c r="G577"/>
  <c r="G537"/>
  <c r="A549" s="1"/>
  <c r="J630"/>
  <c r="J595"/>
  <c r="J536"/>
  <c r="H548" s="1"/>
  <c r="H517"/>
  <c r="J517" s="1"/>
  <c r="J527"/>
  <c r="G557"/>
  <c r="G596"/>
  <c r="G538"/>
  <c r="I598"/>
  <c r="I581"/>
  <c r="I562"/>
  <c r="G567" s="1"/>
  <c r="I644"/>
  <c r="I662"/>
  <c r="I613"/>
  <c r="J662"/>
  <c r="J613"/>
  <c r="J644"/>
  <c r="L547"/>
  <c r="J547"/>
  <c r="H550"/>
  <c r="H579"/>
  <c r="H545"/>
  <c r="H559"/>
  <c r="I630"/>
  <c r="I595"/>
  <c r="I527"/>
  <c r="I536"/>
  <c r="G548" s="1"/>
  <c r="G517"/>
  <c r="I517" s="1"/>
  <c r="H631"/>
  <c r="H577"/>
  <c r="H537"/>
  <c r="B549" s="1"/>
  <c r="G559"/>
  <c r="G579"/>
  <c r="G545"/>
  <c r="I550"/>
  <c r="K547"/>
  <c r="I547"/>
  <c r="K454"/>
  <c r="I454"/>
  <c r="I465"/>
  <c r="K460"/>
  <c r="I460"/>
  <c r="I468"/>
  <c r="I202"/>
  <c r="A181"/>
  <c r="I559" l="1"/>
  <c r="I579"/>
  <c r="I545"/>
  <c r="G522"/>
  <c r="I522" s="1"/>
  <c r="I523"/>
  <c r="J631"/>
  <c r="J577"/>
  <c r="J526"/>
  <c r="H520"/>
  <c r="J520" s="1"/>
  <c r="H515"/>
  <c r="J515" s="1"/>
  <c r="J537"/>
  <c r="H549" s="1"/>
  <c r="G649"/>
  <c r="A655" s="1"/>
  <c r="G597"/>
  <c r="G542"/>
  <c r="G518"/>
  <c r="I518" s="1"/>
  <c r="I635"/>
  <c r="I599"/>
  <c r="I651"/>
  <c r="K567"/>
  <c r="I567"/>
  <c r="I570"/>
  <c r="H649"/>
  <c r="B655" s="1"/>
  <c r="H597"/>
  <c r="H542"/>
  <c r="H518"/>
  <c r="J518" s="1"/>
  <c r="I631"/>
  <c r="I577"/>
  <c r="I537"/>
  <c r="G549" s="1"/>
  <c r="G520"/>
  <c r="I520" s="1"/>
  <c r="I526"/>
  <c r="G515"/>
  <c r="I515" s="1"/>
  <c r="J596"/>
  <c r="J557"/>
  <c r="J538"/>
  <c r="J528"/>
  <c r="H514"/>
  <c r="J514" s="1"/>
  <c r="H570"/>
  <c r="L567"/>
  <c r="J567"/>
  <c r="I551"/>
  <c r="K548"/>
  <c r="I548"/>
  <c r="J579"/>
  <c r="J545"/>
  <c r="J559"/>
  <c r="J523"/>
  <c r="H522"/>
  <c r="J522" s="1"/>
  <c r="I557"/>
  <c r="I596"/>
  <c r="I538"/>
  <c r="I528"/>
  <c r="G514"/>
  <c r="I514" s="1"/>
  <c r="J651"/>
  <c r="J635"/>
  <c r="J599"/>
  <c r="H551"/>
  <c r="L548"/>
  <c r="J548"/>
  <c r="G210"/>
  <c r="I210" s="1"/>
  <c r="K202"/>
  <c r="A202"/>
  <c r="I652" l="1"/>
  <c r="I600"/>
  <c r="I563"/>
  <c r="H668"/>
  <c r="H560"/>
  <c r="H546"/>
  <c r="J600"/>
  <c r="J652"/>
  <c r="J563"/>
  <c r="G665"/>
  <c r="G632"/>
  <c r="G540"/>
  <c r="G667"/>
  <c r="G578"/>
  <c r="G544"/>
  <c r="J649"/>
  <c r="H655" s="1"/>
  <c r="J597"/>
  <c r="J542"/>
  <c r="I649"/>
  <c r="G655" s="1"/>
  <c r="I597"/>
  <c r="I542"/>
  <c r="L549"/>
  <c r="J549"/>
  <c r="H552"/>
  <c r="H667"/>
  <c r="H578"/>
  <c r="H544"/>
  <c r="I669"/>
  <c r="I580"/>
  <c r="I561"/>
  <c r="G647"/>
  <c r="G558"/>
  <c r="G539"/>
  <c r="J669"/>
  <c r="J580"/>
  <c r="J561"/>
  <c r="H647"/>
  <c r="H558"/>
  <c r="H539"/>
  <c r="I670"/>
  <c r="G675" s="1"/>
  <c r="I634"/>
  <c r="I582"/>
  <c r="I552"/>
  <c r="K549"/>
  <c r="I549"/>
  <c r="H650"/>
  <c r="B656" s="1"/>
  <c r="B657" s="1"/>
  <c r="H633"/>
  <c r="H543"/>
  <c r="G650"/>
  <c r="A656" s="1"/>
  <c r="A657" s="1"/>
  <c r="G633"/>
  <c r="G543"/>
  <c r="H632"/>
  <c r="H665"/>
  <c r="H540"/>
  <c r="J670"/>
  <c r="H675" s="1"/>
  <c r="J634"/>
  <c r="J582"/>
  <c r="G668"/>
  <c r="G546"/>
  <c r="G560"/>
  <c r="H678" l="1"/>
  <c r="L675"/>
  <c r="J675"/>
  <c r="K657"/>
  <c r="L657"/>
  <c r="I657"/>
  <c r="J657"/>
  <c r="K675"/>
  <c r="I675"/>
  <c r="I678"/>
  <c r="I647"/>
  <c r="I558"/>
  <c r="I539"/>
  <c r="I529"/>
  <c r="J632"/>
  <c r="J665"/>
  <c r="J540"/>
  <c r="J530"/>
  <c r="H516"/>
  <c r="J516" s="1"/>
  <c r="I650"/>
  <c r="G656" s="1"/>
  <c r="I633"/>
  <c r="I543"/>
  <c r="J650"/>
  <c r="H656" s="1"/>
  <c r="J633"/>
  <c r="J543"/>
  <c r="J647"/>
  <c r="J558"/>
  <c r="J539"/>
  <c r="J529"/>
  <c r="J667"/>
  <c r="J578"/>
  <c r="J544"/>
  <c r="L655"/>
  <c r="J655"/>
  <c r="H658"/>
  <c r="J668"/>
  <c r="J560"/>
  <c r="J546"/>
  <c r="I668"/>
  <c r="I546"/>
  <c r="I560"/>
  <c r="I658"/>
  <c r="K655"/>
  <c r="I655"/>
  <c r="I667"/>
  <c r="I578"/>
  <c r="I544"/>
  <c r="I665"/>
  <c r="I632"/>
  <c r="I540"/>
  <c r="I530"/>
  <c r="G516"/>
  <c r="I516" s="1"/>
  <c r="G648" l="1"/>
  <c r="G666"/>
  <c r="G541"/>
  <c r="I659"/>
  <c r="K656"/>
  <c r="I656"/>
  <c r="I654"/>
  <c r="I672"/>
  <c r="I636"/>
  <c r="J653"/>
  <c r="J671"/>
  <c r="J564"/>
  <c r="H659"/>
  <c r="L656"/>
  <c r="J656"/>
  <c r="H666"/>
  <c r="H648"/>
  <c r="H541"/>
  <c r="J672"/>
  <c r="J636"/>
  <c r="J654"/>
  <c r="I671"/>
  <c r="I653"/>
  <c r="I564"/>
  <c r="J666" l="1"/>
  <c r="J648"/>
  <c r="J541"/>
  <c r="I648"/>
  <c r="I666"/>
  <c r="I541"/>
</calcChain>
</file>

<file path=xl/sharedStrings.xml><?xml version="1.0" encoding="utf-8"?>
<sst xmlns="http://schemas.openxmlformats.org/spreadsheetml/2006/main" count="6256" uniqueCount="828">
  <si>
    <t>Ellipse</t>
  </si>
  <si>
    <t>Polylinie</t>
  </si>
  <si>
    <t>x</t>
  </si>
  <si>
    <t>y</t>
  </si>
  <si>
    <t>Polygon</t>
  </si>
  <si>
    <t>Rechteck</t>
  </si>
  <si>
    <t>Text</t>
  </si>
  <si>
    <t>Y</t>
  </si>
  <si>
    <t>X</t>
  </si>
  <si>
    <t>Textfarbe</t>
  </si>
  <si>
    <t>Farbe</t>
  </si>
  <si>
    <t>Pinsel</t>
  </si>
  <si>
    <t>Font</t>
  </si>
  <si>
    <t>Palette</t>
  </si>
  <si>
    <t>Füller</t>
  </si>
  <si>
    <t>ObjektWählen</t>
  </si>
  <si>
    <t>a</t>
  </si>
  <si>
    <t>b</t>
  </si>
  <si>
    <t>f</t>
  </si>
  <si>
    <t>Times New Roman</t>
  </si>
  <si>
    <t>Pfeilgröße</t>
  </si>
  <si>
    <t>A</t>
  </si>
  <si>
    <t>L</t>
  </si>
  <si>
    <t>Kampfverlauf</t>
  </si>
  <si>
    <t>gL</t>
  </si>
  <si>
    <t>gA</t>
  </si>
  <si>
    <t>gLd</t>
  </si>
  <si>
    <t>gLr</t>
  </si>
  <si>
    <t>m</t>
  </si>
  <si>
    <t>vKampfverlauf</t>
  </si>
  <si>
    <t>gAa</t>
  </si>
  <si>
    <t>gLa</t>
  </si>
  <si>
    <t>gLe</t>
  </si>
  <si>
    <t>gAe</t>
  </si>
  <si>
    <t>f=0,8</t>
  </si>
  <si>
    <t>f=2/3</t>
  </si>
  <si>
    <t>A    Beispiel für guten Kampfverlauf</t>
  </si>
  <si>
    <t>f=0,799</t>
  </si>
  <si>
    <t>Subtraxion</t>
  </si>
  <si>
    <t>Subtraxion2</t>
  </si>
  <si>
    <t>start</t>
  </si>
  <si>
    <t>Ende</t>
  </si>
  <si>
    <t>N</t>
  </si>
  <si>
    <t>D</t>
  </si>
  <si>
    <t>s</t>
  </si>
  <si>
    <t>Diagrammbasis</t>
  </si>
  <si>
    <t>gL = 20</t>
  </si>
  <si>
    <t>A    D=0,5  s=2   n=10</t>
  </si>
  <si>
    <t>Kampfdiagramm</t>
  </si>
  <si>
    <t>U(D)</t>
  </si>
  <si>
    <t>2/3</t>
  </si>
  <si>
    <t>U(D)=D²/6+0,5</t>
  </si>
  <si>
    <t>U+L</t>
  </si>
  <si>
    <t>Leben</t>
  </si>
  <si>
    <t>Überschaden</t>
  </si>
  <si>
    <t>Hilfsterm</t>
  </si>
  <si>
    <t>HV</t>
  </si>
  <si>
    <t>HV2</t>
  </si>
  <si>
    <t>Grid</t>
  </si>
  <si>
    <t>Textabdecken</t>
  </si>
  <si>
    <t>Pfeilspitze</t>
  </si>
  <si>
    <t>U</t>
  </si>
  <si>
    <t>Würfel</t>
  </si>
  <si>
    <t>U=0</t>
  </si>
  <si>
    <t>U=1</t>
  </si>
  <si>
    <t>L=0,04</t>
  </si>
  <si>
    <t>L=10</t>
  </si>
  <si>
    <t>D=1</t>
  </si>
  <si>
    <t>D=0</t>
  </si>
  <si>
    <t>Tesserakt</t>
  </si>
  <si>
    <t>Innenwürfel</t>
  </si>
  <si>
    <t>Verbindungen</t>
  </si>
  <si>
    <t>Würfel 1</t>
  </si>
  <si>
    <t>Würfel 2</t>
  </si>
  <si>
    <t>Würfel 3</t>
  </si>
  <si>
    <t>Würfel 4</t>
  </si>
  <si>
    <t>Würfel 5</t>
  </si>
  <si>
    <t>Würfel 6</t>
  </si>
  <si>
    <t>Würfel 7</t>
  </si>
  <si>
    <t>Würfel 8</t>
  </si>
  <si>
    <t>1/m</t>
  </si>
  <si>
    <t>L=0,1</t>
  </si>
  <si>
    <t>N=2</t>
  </si>
  <si>
    <t>L=24</t>
  </si>
  <si>
    <t>N=100</t>
  </si>
  <si>
    <t>Tesseraktparameter</t>
  </si>
  <si>
    <t>Tesserakt2</t>
  </si>
  <si>
    <t>Würfel2</t>
  </si>
  <si>
    <t>1/m=f(D,L,N)</t>
  </si>
  <si>
    <t>1/m=1</t>
  </si>
  <si>
    <t>1/m=0</t>
  </si>
  <si>
    <t>1/m &lt; -0,1</t>
  </si>
  <si>
    <t>1/m   N=10; D=0,2</t>
  </si>
  <si>
    <t>Diagrammschnitt</t>
  </si>
  <si>
    <t>P =(10,8|9,6)</t>
  </si>
  <si>
    <t>P =(6|9,6)</t>
  </si>
  <si>
    <t>P =(4|6,4)</t>
  </si>
  <si>
    <t>f =</t>
  </si>
  <si>
    <t>Arc</t>
  </si>
  <si>
    <t>Chord</t>
  </si>
  <si>
    <t>Diagrammgroß</t>
  </si>
  <si>
    <t>A  dreieckiger Kampfverlauf ohne Treppe</t>
  </si>
  <si>
    <t>A  dreieckiger Kampfverlauf mit Treppe</t>
  </si>
  <si>
    <t>mit Treppe</t>
  </si>
  <si>
    <t>gL+U</t>
  </si>
  <si>
    <t>gLd+U</t>
  </si>
  <si>
    <t>Xgrenze</t>
  </si>
  <si>
    <t>Ygrenze</t>
  </si>
  <si>
    <t>Rechenbeispiel</t>
  </si>
  <si>
    <t>N   Kampfverlauf mit N=30; D=0,5; L=24; geA=6</t>
  </si>
  <si>
    <r>
      <t>N(L)=0,5 +6</t>
    </r>
    <r>
      <rPr>
        <sz val="10"/>
        <rFont val="Calibri"/>
        <family val="2"/>
      </rPr>
      <t>·</t>
    </r>
    <r>
      <rPr>
        <sz val="10"/>
        <rFont val="Arial"/>
        <family val="2"/>
      </rPr>
      <t>0,17559·41,3-6·0,17559·41,3²/(L/6+41,3)</t>
    </r>
  </si>
  <si>
    <t>Pfeil</t>
  </si>
  <si>
    <t>Maßkette</t>
  </si>
  <si>
    <t>Diagramm</t>
  </si>
  <si>
    <t>BiMaßkette</t>
  </si>
  <si>
    <t>Y Teilungen</t>
  </si>
  <si>
    <t>X Wertearray</t>
  </si>
  <si>
    <t>mit Diagrammobjekt</t>
  </si>
  <si>
    <t>gLr =198,3</t>
  </si>
  <si>
    <t>gLd = 521,7</t>
  </si>
  <si>
    <t>Kampfverlauf ohne Überschaden</t>
  </si>
  <si>
    <t>Kampfverlauf mit Überschaden</t>
  </si>
  <si>
    <t>Stahl</t>
  </si>
  <si>
    <t>A   leichte Panzerung</t>
  </si>
  <si>
    <t>A   mittlere Panzerung</t>
  </si>
  <si>
    <t>A   schwere Panzerung</t>
  </si>
  <si>
    <t>Kampfvergleich</t>
  </si>
  <si>
    <t>bessere Kompression mit</t>
  </si>
  <si>
    <t>Kopieabstände eines Vielfachen</t>
  </si>
  <si>
    <t>von 256</t>
  </si>
  <si>
    <t>P1</t>
  </si>
  <si>
    <t>P3</t>
  </si>
  <si>
    <t>Bereiche, in denen die Formel U= 1-L+Int(L) gültig ist</t>
  </si>
  <si>
    <t>U= 1-L+Int(L)</t>
  </si>
  <si>
    <t>U_Trivialformel</t>
  </si>
  <si>
    <t>Kriterium  Int(L)·(1+D)-L</t>
  </si>
  <si>
    <t>Kriterium  L-(1-Int(L))·(1-D)</t>
  </si>
  <si>
    <t>Abstandskriterium</t>
  </si>
  <si>
    <t>P(L;D)</t>
  </si>
  <si>
    <t>Kampfverlauf des roten Banditen</t>
  </si>
  <si>
    <t>Kampfverlauf des blauen Banditen</t>
  </si>
  <si>
    <t>A  K=67500 al</t>
  </si>
  <si>
    <t>A  K=87750 al</t>
  </si>
  <si>
    <t>Lu</t>
  </si>
  <si>
    <t>A  K=25200 al</t>
  </si>
  <si>
    <t>A  K=26644,8 al</t>
  </si>
  <si>
    <t>Diesen Teil für die andere Datei auswexeln</t>
  </si>
  <si>
    <t>A  K=75,25 Mal</t>
  </si>
  <si>
    <t>A  K=67,71 Mal</t>
  </si>
  <si>
    <t>Flussdiagramm</t>
  </si>
  <si>
    <t>Trivialprüfung</t>
  </si>
  <si>
    <t>Ja</t>
  </si>
  <si>
    <t>Nein</t>
  </si>
  <si>
    <t>Text mit Pfeile</t>
  </si>
  <si>
    <r>
      <t>L &lt; 2</t>
    </r>
    <r>
      <rPr>
        <sz val="10"/>
        <rFont val="Calibri"/>
        <family val="2"/>
      </rPr>
      <t>·</t>
    </r>
    <r>
      <rPr>
        <sz val="10"/>
        <rFont val="Arial"/>
        <family val="2"/>
      </rPr>
      <t>(1-D)</t>
    </r>
  </si>
  <si>
    <r>
      <t>L &lt; 3</t>
    </r>
    <r>
      <rPr>
        <sz val="10"/>
        <rFont val="Calibri"/>
        <family val="2"/>
      </rPr>
      <t>·</t>
    </r>
    <r>
      <rPr>
        <sz val="10"/>
        <rFont val="Arial"/>
        <family val="2"/>
      </rPr>
      <t>(1-D)</t>
    </r>
  </si>
  <si>
    <t>L &lt; 1+D</t>
  </si>
  <si>
    <t>L &lt; 2</t>
  </si>
  <si>
    <t>1-2 Treffer</t>
  </si>
  <si>
    <t>1-3 Treffer</t>
  </si>
  <si>
    <t>2-3 Treffer</t>
  </si>
  <si>
    <t>Näherung</t>
  </si>
  <si>
    <t>Objekt</t>
  </si>
  <si>
    <t>3Tformel1</t>
  </si>
  <si>
    <t>Schuss 2</t>
  </si>
  <si>
    <t>Schuss 1</t>
  </si>
  <si>
    <t>X2</t>
  </si>
  <si>
    <t>X3</t>
  </si>
  <si>
    <t>Auswexeln</t>
  </si>
  <si>
    <t>X31</t>
  </si>
  <si>
    <t>X1</t>
  </si>
  <si>
    <t>X32</t>
  </si>
  <si>
    <t>L+D-1</t>
  </si>
  <si>
    <t>1T</t>
  </si>
  <si>
    <t>2T</t>
  </si>
  <si>
    <t>3T</t>
  </si>
  <si>
    <t>4T</t>
  </si>
  <si>
    <t>5T</t>
  </si>
  <si>
    <t>1-2T</t>
  </si>
  <si>
    <t>1-3T</t>
  </si>
  <si>
    <t>2-3T</t>
  </si>
  <si>
    <t>3-4T</t>
  </si>
  <si>
    <t>4-5T</t>
  </si>
  <si>
    <t>5-6T</t>
  </si>
  <si>
    <t>1-4T</t>
  </si>
  <si>
    <t>2-4T</t>
  </si>
  <si>
    <t>2-5T</t>
  </si>
  <si>
    <t>2-6T</t>
  </si>
  <si>
    <t>4-6T</t>
  </si>
  <si>
    <t>4-7T</t>
  </si>
  <si>
    <t>3-5T</t>
  </si>
  <si>
    <t>3-6T</t>
  </si>
  <si>
    <t>3-7T</t>
  </si>
  <si>
    <t>4-8T</t>
  </si>
  <si>
    <t>Schadensbereiche</t>
  </si>
  <si>
    <t>n</t>
  </si>
  <si>
    <t>2Spalten</t>
  </si>
  <si>
    <t>Platz</t>
  </si>
  <si>
    <t>Bauteiltabelle</t>
  </si>
  <si>
    <t>Kombinationstabelle</t>
  </si>
  <si>
    <t>Symbol</t>
  </si>
  <si>
    <t>©©</t>
  </si>
  <si>
    <t>©</t>
  </si>
  <si>
    <t>1.</t>
  </si>
  <si>
    <t>2.</t>
  </si>
  <si>
    <t>3.</t>
  </si>
  <si>
    <t>4.</t>
  </si>
  <si>
    <t>N=1</t>
  </si>
  <si>
    <t>tK=2</t>
  </si>
  <si>
    <t>tK=1</t>
  </si>
  <si>
    <t>K=1</t>
  </si>
  <si>
    <t>K=3</t>
  </si>
  <si>
    <t>K=4,5</t>
  </si>
  <si>
    <t>K=6,5</t>
  </si>
  <si>
    <t>K=2</t>
  </si>
  <si>
    <t>1/2</t>
  </si>
  <si>
    <t>f=6,5/8</t>
  </si>
  <si>
    <t>K=7</t>
  </si>
  <si>
    <t>K=6</t>
  </si>
  <si>
    <t>Breite</t>
  </si>
  <si>
    <t>K=13,5</t>
  </si>
  <si>
    <t>Y1</t>
  </si>
  <si>
    <t>Y2</t>
  </si>
  <si>
    <t>Richtung:</t>
  </si>
  <si>
    <t>K=10,5</t>
  </si>
  <si>
    <t>K=8</t>
  </si>
  <si>
    <t>1/3</t>
  </si>
  <si>
    <t>A  roter Pfad</t>
  </si>
  <si>
    <t>A  blauer Pfad</t>
  </si>
  <si>
    <t>K=23</t>
  </si>
  <si>
    <t>1/4</t>
  </si>
  <si>
    <t>3/4</t>
  </si>
  <si>
    <t>K=19</t>
  </si>
  <si>
    <t>K=15,5</t>
  </si>
  <si>
    <t>2/4</t>
  </si>
  <si>
    <t>K=12,5</t>
  </si>
  <si>
    <t>K=10</t>
  </si>
  <si>
    <t>f=23/32</t>
  </si>
  <si>
    <t>K= 21</t>
  </si>
  <si>
    <t>K= 26</t>
  </si>
  <si>
    <t>beschädigt</t>
  </si>
  <si>
    <t>geL</t>
  </si>
  <si>
    <t>geA</t>
  </si>
  <si>
    <t>K= 3105 Mal</t>
  </si>
  <si>
    <t>K= 3000 Mal</t>
  </si>
  <si>
    <t>Dreieck</t>
  </si>
  <si>
    <t>zweiheitlicher Kampf</t>
  </si>
  <si>
    <t>A  0 Berzerker</t>
  </si>
  <si>
    <t>A  60 Berzerker</t>
  </si>
  <si>
    <t>A  12 Berzerker</t>
  </si>
  <si>
    <t>A  30 Berzerker</t>
  </si>
  <si>
    <t>A  48 Berzerker</t>
  </si>
  <si>
    <t>Optimierungsresistenz</t>
  </si>
  <si>
    <t>Schlachtfeld</t>
  </si>
  <si>
    <t>2.Reihe</t>
  </si>
  <si>
    <t>1.Reihe</t>
  </si>
  <si>
    <t>allgemeines Schlachtfeld</t>
  </si>
  <si>
    <t>Gruppe a</t>
  </si>
  <si>
    <t>gemischter Kampf</t>
  </si>
  <si>
    <t>einheitlicher Kampf</t>
  </si>
  <si>
    <t>Pessimieren</t>
  </si>
  <si>
    <t>dreiheitlicher Kampfverlauf</t>
  </si>
  <si>
    <t>gAc</t>
  </si>
  <si>
    <t>K(a)</t>
  </si>
  <si>
    <t>K(c)</t>
  </si>
  <si>
    <t>gLc·gAa</t>
  </si>
  <si>
    <t>Basispunkt</t>
  </si>
  <si>
    <t>S2</t>
  </si>
  <si>
    <t>Maßkettenhöhe</t>
  </si>
  <si>
    <t>=1/4</t>
  </si>
  <si>
    <t>X2·X2</t>
  </si>
  <si>
    <t>X2·X1</t>
  </si>
  <si>
    <t>Zusatzpfeil</t>
  </si>
  <si>
    <t>S1</t>
  </si>
  <si>
    <t>X2·X1/2</t>
  </si>
  <si>
    <t>=1/8</t>
  </si>
  <si>
    <t>Zusatzmaß</t>
  </si>
  <si>
    <t>Ku=3,3</t>
  </si>
  <si>
    <t>Ku=4,1</t>
  </si>
  <si>
    <t>Ku=4,9</t>
  </si>
  <si>
    <t>Ku=5,7</t>
  </si>
  <si>
    <t>K=3,9</t>
  </si>
  <si>
    <t>Ku=5</t>
  </si>
  <si>
    <t>Ku=6,6</t>
  </si>
  <si>
    <t>X1²/2</t>
  </si>
  <si>
    <t>P2</t>
  </si>
  <si>
    <t>a=</t>
  </si>
  <si>
    <t>b=</t>
  </si>
  <si>
    <t>La=</t>
  </si>
  <si>
    <t>Lb=</t>
  </si>
  <si>
    <t>Aa=</t>
  </si>
  <si>
    <t>Ab=</t>
  </si>
  <si>
    <t>fa=</t>
  </si>
  <si>
    <t>fb=</t>
  </si>
  <si>
    <t>Gruppe A</t>
  </si>
  <si>
    <t>Länge</t>
  </si>
  <si>
    <t>La</t>
  </si>
  <si>
    <t>Lra</t>
  </si>
  <si>
    <t>Lda</t>
  </si>
  <si>
    <t>Aa</t>
  </si>
  <si>
    <t>Lb</t>
  </si>
  <si>
    <t>Lrb</t>
  </si>
  <si>
    <t>Ldb</t>
  </si>
  <si>
    <t>Gruppe B</t>
  </si>
  <si>
    <t>Ab</t>
  </si>
  <si>
    <t>A  kurze Mischformel</t>
  </si>
  <si>
    <t>A  lange Mischformel</t>
  </si>
  <si>
    <t>A  dritte Mischformel</t>
  </si>
  <si>
    <t>103,6</t>
  </si>
  <si>
    <t>A  Kampfverlauf</t>
  </si>
  <si>
    <t>gLb</t>
  </si>
  <si>
    <t>gAb</t>
  </si>
  <si>
    <t>gLa+gLb</t>
  </si>
  <si>
    <t>Einzelkampfkräfte</t>
  </si>
  <si>
    <t>Small Integer</t>
  </si>
  <si>
    <t>ggLa=n·La</t>
  </si>
  <si>
    <t>ggLad</t>
  </si>
  <si>
    <t>ggLar</t>
  </si>
  <si>
    <t>gLbd</t>
  </si>
  <si>
    <t>ggLbr</t>
  </si>
  <si>
    <t>B</t>
  </si>
  <si>
    <t>ggLb=gLa+gLb</t>
  </si>
  <si>
    <t>Kda</t>
  </si>
  <si>
    <t>Kdb</t>
  </si>
  <si>
    <t>Krb</t>
  </si>
  <si>
    <t>Kra</t>
  </si>
  <si>
    <t>Zeit</t>
  </si>
  <si>
    <t>auswexeln</t>
  </si>
  <si>
    <t>lang</t>
  </si>
  <si>
    <t>kurz</t>
  </si>
  <si>
    <t>dritt</t>
  </si>
  <si>
    <t>L1</t>
  </si>
  <si>
    <t>L2</t>
  </si>
  <si>
    <t>A1</t>
  </si>
  <si>
    <t>A1= mb·L1</t>
  </si>
  <si>
    <t>ggLad= Lad·n</t>
  </si>
  <si>
    <t>ggLar= Lar·n</t>
  </si>
  <si>
    <t>ggLa= La·n</t>
  </si>
  <si>
    <t>ggLbd= L1+L2</t>
  </si>
  <si>
    <t>ggLbr= Lrb·n</t>
  </si>
  <si>
    <t>ggLb= gLa+gLb</t>
  </si>
  <si>
    <t>ggLbd= L1+L2+L3</t>
  </si>
  <si>
    <t>Trimaßkette</t>
  </si>
  <si>
    <t>horizontal</t>
  </si>
  <si>
    <t>A2</t>
  </si>
  <si>
    <t>Flächeninhalt der Teilkampfkraftfiguren</t>
  </si>
  <si>
    <t>x L</t>
  </si>
  <si>
    <t>y A</t>
  </si>
  <si>
    <t>Kdb1</t>
  </si>
  <si>
    <t>Kdb2</t>
  </si>
  <si>
    <t>Kdb3</t>
  </si>
  <si>
    <t>Lad</t>
  </si>
  <si>
    <t>Lar</t>
  </si>
  <si>
    <t>Lbd</t>
  </si>
  <si>
    <t>L/N</t>
  </si>
  <si>
    <t>Ld</t>
  </si>
  <si>
    <t>dreieckig</t>
  </si>
  <si>
    <t>rechteckig</t>
  </si>
  <si>
    <t>dreieckiger Kampf</t>
  </si>
  <si>
    <t>L/N  durchschnittliche Leben jeder Einheit</t>
  </si>
  <si>
    <t>rechteckiger Kampf</t>
  </si>
  <si>
    <t>genauer Kampfverlauf</t>
  </si>
  <si>
    <t>Anteil Gruppe B</t>
  </si>
  <si>
    <t>Anteil Gruppe A</t>
  </si>
  <si>
    <t>Mischformeln_Rzus</t>
  </si>
  <si>
    <t>A  1.lineare Mischformel</t>
  </si>
  <si>
    <t>A  2.nichtlineare Mischformel</t>
  </si>
  <si>
    <t>A  3.lineares Tabellenverfahren</t>
  </si>
  <si>
    <t>A  4.nichtlineares Tabellenverfahren</t>
  </si>
  <si>
    <t>A  6.Simulation</t>
  </si>
  <si>
    <t>A  5. v.nichtlineares Tabellenverfahren</t>
  </si>
  <si>
    <t>Held</t>
  </si>
  <si>
    <t>Turm</t>
  </si>
  <si>
    <t>Creeps</t>
  </si>
  <si>
    <t>A  Türme zuerst abmetzeln</t>
  </si>
  <si>
    <t>A  Turm-Creeps-Turm</t>
  </si>
  <si>
    <t>A  Creeps zuerst abmetzeln</t>
  </si>
  <si>
    <t>uuzuzuuzuuzuz</t>
  </si>
  <si>
    <t>uzzuzuuzu</t>
  </si>
  <si>
    <t>X Teilungen</t>
  </si>
  <si>
    <t>WMF X</t>
  </si>
  <si>
    <t>WMF Y</t>
  </si>
  <si>
    <t>A  Held</t>
  </si>
  <si>
    <t>Dateiname</t>
  </si>
  <si>
    <t>lxx Wieviel geht ein Y-Wert im diagramm nach rechts</t>
  </si>
  <si>
    <t>lxy Wieviel geht ein X-Wert im diagramm nach rechts</t>
  </si>
  <si>
    <t>lyx  Wieviel geht ein Y-Wert im diagramm nach oben</t>
  </si>
  <si>
    <t>lyy  Wieviel geht ein X-Wert im diagramm nach oben</t>
  </si>
  <si>
    <t>lz  Wieviel geht ein Z-Wert im diagramm nach oben</t>
  </si>
  <si>
    <t>Diagrammtitel</t>
  </si>
  <si>
    <t>tiefe Farbe</t>
  </si>
  <si>
    <t>mittlere Farbe</t>
  </si>
  <si>
    <t>hohe Farbe</t>
  </si>
  <si>
    <t>schwarze farbe</t>
  </si>
  <si>
    <t>rot</t>
  </si>
  <si>
    <t>grün</t>
  </si>
  <si>
    <t>blau</t>
  </si>
  <si>
    <t>Aktiv</t>
  </si>
  <si>
    <t>weiße Ränder</t>
  </si>
  <si>
    <t>links</t>
  </si>
  <si>
    <t>oben</t>
  </si>
  <si>
    <t>rechts</t>
  </si>
  <si>
    <t>unten</t>
  </si>
  <si>
    <t>Diagrammaxen</t>
  </si>
  <si>
    <t>z</t>
  </si>
  <si>
    <t>K</t>
  </si>
  <si>
    <t>Bodengitter zeichnen</t>
  </si>
  <si>
    <t>Position</t>
  </si>
  <si>
    <t>Schriftgröße</t>
  </si>
  <si>
    <t>Liniendicke</t>
  </si>
  <si>
    <t>Teilung der y Achse</t>
  </si>
  <si>
    <t>Schritte</t>
  </si>
  <si>
    <t>Schrittgröße</t>
  </si>
  <si>
    <t>jeden n-ten x-Wert beschrifen; 1.Wert=Modulo 2.Wert=Rest</t>
  </si>
  <si>
    <t>jeden n-ten y-Wert beschrifen; 1.Wert=Modulo 2.Wert=Rest</t>
  </si>
  <si>
    <t>Legende zeichnen</t>
  </si>
  <si>
    <t>Legende x</t>
  </si>
  <si>
    <t>Legende y</t>
  </si>
  <si>
    <t>x-Zahlen nach unten schieben</t>
  </si>
  <si>
    <t>y-Zahlen nach rechts schieben</t>
  </si>
  <si>
    <t>z-Zahlen nach links schieben</t>
  </si>
  <si>
    <t>K(La;Aa)=0,5+0,5*(Aa/(3*La))^0,5</t>
  </si>
  <si>
    <t>Diagramm_zweiheit_Nutzen</t>
  </si>
  <si>
    <t>Diagramm_zweiheit_Logaritmus</t>
  </si>
  <si>
    <t>log(Aa)/log(2)+10</t>
  </si>
  <si>
    <t>log(La)/log(2)+10</t>
  </si>
  <si>
    <t>große Schrift</t>
  </si>
  <si>
    <t>Diagramm_misch_Logaritmus</t>
  </si>
  <si>
    <t>K(La;Aa)=0,5+0,125*(3*La*Aa)^0,5 + La*5/(9*(3*La*Aa)^0,5)</t>
  </si>
  <si>
    <t>Diagramm_misch_Nutzen</t>
  </si>
  <si>
    <t>tiefes Polygon</t>
  </si>
  <si>
    <t>0,23;1,23;2,23;3,23;4,23;5,23;4,21;3,19;2,16;1,12;0,5;0,6;0,8;0,10;0,12;0,14;0,16;0,18;0,20;</t>
  </si>
  <si>
    <t>0,0;0,1;1,3;2,4;3,6;4,7;5,8;6,9;7,10;8,11;9,12;11,13;13,14;16,15;21,16;35,16;39,15;39,14;39,13;39,12;39,11;39,10;39,9;39,8;39,7;39,6;39,5;39,4;39,3;39,2;39,1;39,0;35,0;31,0;28,0;25,0;22,0;20,0;18,0;16,0;14,0;12,0;10,0;9,0;8,0;7,0;6,0;5,0;4,0;3,0;2,0;1,0;</t>
  </si>
  <si>
    <t>0,5;2,7;4,9;6,11;8,13;10,15;12,17;15,19;20,20;25,19;27,18;30,15;32,13;34,11;37,8;39,6;39,10;39,12;39,14;39,16;39,18;39,20;37,20;35,20;34,20;33,20;32,20;31,20;30,20;29,20;28,20;27,20;26,20;25,20;24,20;23,20;22,20;21,20;20,20;19,20;18,20;17,20;16,20;15,20;14,20;13,20;12,20;11,20;10,20;9,20;8,20;6,20;4,20;2,20;0,20;0,18;0,16;0,15;0,14;0,13;0,12;0,11;0,10;0,9;0,8;0,7;0,6;</t>
  </si>
  <si>
    <t>0,2;2,4;4,6;6,8;8,10;10,12;14,15;16,17;20,18;22,18;25,16;28,14;30,12;32,10;35,7;37,5;39,3;39,0;37,0;34,0;31,0;28,0;25,0;22,0;19,0;16,0;13,0;10,0;7,0;4,0;2,0;0,0;</t>
  </si>
  <si>
    <t>hohes Polygon für Drahtgitter=2</t>
  </si>
  <si>
    <t>Diagrammtyp: 0=Höhen sind farben; 1=Drahtgitter; 2=Drahtgitter mit hinterlegten Polygonen; 3= Farben nach Bitmap</t>
  </si>
  <si>
    <t>mittleres Polygon</t>
  </si>
  <si>
    <t>0,2;0,5;3,13;15,19;20,20;25,19;30,18;39,6;39,3;</t>
  </si>
  <si>
    <t>0,1;0,3;0,5;1,20;5,23;6,23;7,23;8,23;10,23;12,23;14,23;16,23;18,23;20,23;23,23;26,23;30,23;34,23;39,23;39,20;39,18;39,15;37,1;</t>
  </si>
  <si>
    <t>0,0;0,23;1,23;2,23;3,23;4,23;5,23;6,23;8,23;10,23;12,23;14,23;16,23;18,23;20,23;23,23;26,23;29,23;26,21;21,17;17,14;12,10;8,7;3,3;1,0;</t>
  </si>
  <si>
    <t>1,0;2,0;3,0;4,0;5,0;6,0;7,0;8,0;10,0;12,0;14,0;16,0;18,0;20,0;23,0;26,0;29,0;32,0;36,0;40,0;40,1;40,2;40,3;40,4;40,5;40,6;40,8;40,10;40,13;34,11;28,9;23,7;17,5;14,4;11,3;8,2;5,1;</t>
  </si>
  <si>
    <t>1,2;1,0;3,0;40,13;40,16;40,20;40,23;34,23;29,23;</t>
  </si>
  <si>
    <t>0,1;0,2;0,3;0,5;0,7;0,10;0,13;0,16;0,20;4,20;7,20;9,20;11,20;13,20;15,20;16,20;17,20;18,20;19,20;</t>
  </si>
  <si>
    <t>0,1;0,0;1,0;2,0;3,0;23,20;19,20;</t>
  </si>
  <si>
    <t>3,0;4,0;5,0;6,0;7,0;8,0;9,0;10,0;11,0;12,0;13,0;14,0;37,20;36,20;35,20;34,20;33,20;32,20;31,20;30,20;29,20;28,20;27,20;26,20;25,20;24,20;23,20;</t>
  </si>
  <si>
    <t>WoT</t>
  </si>
  <si>
    <t>WMF</t>
  </si>
  <si>
    <t>Nichts</t>
  </si>
  <si>
    <t>Meta_Placeable</t>
  </si>
  <si>
    <t>Wikinger</t>
  </si>
  <si>
    <t>Dorf</t>
  </si>
  <si>
    <t>Bauernhof</t>
  </si>
  <si>
    <t>Stadt</t>
  </si>
  <si>
    <t>A  Kampfverlauf der Dörfer ohne Zauber</t>
  </si>
  <si>
    <t>A  Kampfverlauf der Dörfer mit Zauber</t>
  </si>
  <si>
    <t>Schatztruhe</t>
  </si>
  <si>
    <t>A  Wikinger</t>
  </si>
  <si>
    <t>Pfeilhagel</t>
  </si>
  <si>
    <t>Thors Hammer</t>
  </si>
  <si>
    <t>Bier</t>
  </si>
  <si>
    <t>Feuerball</t>
  </si>
  <si>
    <t>Anzahlreduktion z.B. Blitzschlag</t>
  </si>
  <si>
    <t>Anzahlerhöhung z.B. mehr Kapazität</t>
  </si>
  <si>
    <t>Verstärkung z.B. Beschwörung</t>
  </si>
  <si>
    <t>Anzahlerhöhung zum späteren Zeitpunkt</t>
  </si>
  <si>
    <t>Zauber Verstärkung</t>
  </si>
  <si>
    <t>Header ist immer Gleich</t>
  </si>
  <si>
    <t>Zauber Gehirnwäsche</t>
  </si>
  <si>
    <t>Gehirnwäsche Mischformel</t>
  </si>
  <si>
    <t>Gehirnwäsche zweiheitliche Formel</t>
  </si>
  <si>
    <t>Zauber Gehirnwäsche2</t>
  </si>
  <si>
    <t>Angriffsreduktion z.B. Blendung</t>
  </si>
  <si>
    <t>Angriffssteigerung z.B. Powerboost</t>
  </si>
  <si>
    <t>Zauber_Angriff</t>
  </si>
  <si>
    <t>A   L</t>
  </si>
  <si>
    <t>anabolic Frenzy</t>
  </si>
  <si>
    <t>Verteidigungsmodus</t>
  </si>
  <si>
    <t>Zauber_Frenzy</t>
  </si>
  <si>
    <t>Zufallsschaden</t>
  </si>
  <si>
    <t>Zufallsschaden z.B. Steinschlag</t>
  </si>
  <si>
    <t>mehrfacher Zufallsschaden</t>
  </si>
  <si>
    <t>L   f</t>
  </si>
  <si>
    <t>Teilflächenschaden</t>
  </si>
  <si>
    <t>Teilflächenschaden mit leichter Verwundung</t>
  </si>
  <si>
    <t>Teilflächenschaden mit schwerer Verwundung</t>
  </si>
  <si>
    <t>Flächenschaden</t>
  </si>
  <si>
    <t>verbesserte Rüstung</t>
  </si>
  <si>
    <t>Gezielte Heilung</t>
  </si>
  <si>
    <t>Reincarnation</t>
  </si>
  <si>
    <t>Verstärkung</t>
  </si>
  <si>
    <t>Teamwork</t>
  </si>
  <si>
    <t>Team</t>
  </si>
  <si>
    <t>Geistverbindung</t>
  </si>
  <si>
    <t>Einheiten splitten</t>
  </si>
  <si>
    <t>N   L</t>
  </si>
  <si>
    <t>A   f</t>
  </si>
  <si>
    <t>Zauber_Einheiten splitten</t>
  </si>
  <si>
    <t>schnellere Bewegung</t>
  </si>
  <si>
    <t>Geradenschnittpunkte</t>
  </si>
  <si>
    <t>f(x)</t>
  </si>
  <si>
    <t>g(x)</t>
  </si>
  <si>
    <t>XS</t>
  </si>
  <si>
    <t>KS</t>
  </si>
  <si>
    <t>Tetraeder1</t>
  </si>
  <si>
    <t>Y Würfelbasis</t>
  </si>
  <si>
    <t>X Würfelbasis</t>
  </si>
  <si>
    <t>T2</t>
  </si>
  <si>
    <t>T3</t>
  </si>
  <si>
    <t>T1</t>
  </si>
  <si>
    <t>X4</t>
  </si>
  <si>
    <t>Tetraeder2</t>
  </si>
  <si>
    <t>selbe Malobjekte</t>
  </si>
  <si>
    <r>
      <t>2</t>
    </r>
    <r>
      <rPr>
        <sz val="10"/>
        <rFont val="Calibri"/>
        <family val="2"/>
      </rPr>
      <t>·</t>
    </r>
    <r>
      <rPr>
        <sz val="10"/>
        <rFont val="Arial"/>
      </rPr>
      <t>D</t>
    </r>
  </si>
  <si>
    <t>TetraederZerlegung</t>
  </si>
  <si>
    <t>PolytextH</t>
  </si>
  <si>
    <t>=_+_+_+</t>
  </si>
  <si>
    <t>PolytextV</t>
  </si>
  <si>
    <t>Stapel_Würfel_Quader_Prisma_Tetraeder</t>
  </si>
  <si>
    <t>Team-_wirkung</t>
  </si>
  <si>
    <t>T2_T2_T2</t>
  </si>
  <si>
    <t>T3_T3_T3</t>
  </si>
  <si>
    <t>X4_X4_X4</t>
  </si>
  <si>
    <t>X4_X4</t>
  </si>
  <si>
    <t>X1_X1</t>
  </si>
  <si>
    <t>X2_X2</t>
  </si>
  <si>
    <t>X3_X3</t>
  </si>
  <si>
    <t>hintere Verstärkung passt gut_hintere Verstärkung passt mäßig_hintere Verstärkung passt schlecht_zur defensiven Truppe_zur Truppe_zur offensiven Truppe</t>
  </si>
  <si>
    <t>vordere Verstärkung passt schlecht_vordere Verstärkung passt mäßig_vordere Verstärkung passt gut_zur defensiven Truppe_zur Truppe_zur offensiven Truppe</t>
  </si>
  <si>
    <t>Gewinner_Verlierer_Gewinner</t>
  </si>
  <si>
    <t>vor dem Kampf_vor dem Kampf_nach dem Kampf</t>
  </si>
  <si>
    <t>Gewinner_schwacher Gegner_Gewinner</t>
  </si>
  <si>
    <t>Gewinner_starker Gegner_Gewinner</t>
  </si>
  <si>
    <t>f=0,666_u·f=0,799_1/m=1,022</t>
  </si>
  <si>
    <t>f=0,729_u·f=0,858_1/m=2</t>
  </si>
  <si>
    <t>0_1</t>
  </si>
  <si>
    <t>0_1_3_4</t>
  </si>
  <si>
    <t>Spitzenabrunden_Hilfsterm_Hauptfunxion</t>
  </si>
  <si>
    <t>L_L_L</t>
  </si>
  <si>
    <t>1_1_1</t>
  </si>
  <si>
    <t>-1_-1_-1</t>
  </si>
  <si>
    <t>f(x)=sgn(x)·|x^1,1|_Hauptfunxion</t>
  </si>
  <si>
    <t>x_L</t>
  </si>
  <si>
    <t>1_1</t>
  </si>
  <si>
    <t>-1_-1</t>
  </si>
  <si>
    <t>2_3_4_5_6_7_8_9_10_11_12_13_14_15_16_17_18_19_20_21_22_23_24_25_26_27_28_29_30_35_40_45_50_55_60_65_70_75_80_85_90_95_100</t>
  </si>
  <si>
    <t>0,1_0,2_0,3_0,4_0,5_0,6_0,7_0,8_1_1,2_1,4_1,6_1,8_2_2,2_2,4_2,6_2,8_3_3,2_3,4_3,6_3,8_4_4,4_4,8_5,2_5,6_6_6,4_6,8_7,2_7,6_8_8,4_8,8_9,2_9,6_10_11_12_13_14_15_16_17_18_19_20_21_22_23_24</t>
  </si>
  <si>
    <t>D_D_D</t>
  </si>
  <si>
    <t>&lt; 1/m &lt; -0,03_&lt; 1/m &lt; -0,01_&lt; 1/m &lt; -0,003_&lt; 1/m &lt; -0,001_&lt; 1/m &lt; 0,001_&lt; 1/m &lt; 0,003_&lt; 1/m &lt; 0,01_&lt; 1/m &lt; 0,03_&lt; 1/m &lt; 0,1_&lt; 1/m</t>
  </si>
  <si>
    <t>-0,1_-0,03_-0,01_-0,003_-0,001_0,001_0,003_0,01_0,03_0,1</t>
  </si>
  <si>
    <t>1,5_1_0,5</t>
  </si>
  <si>
    <t>Orginal_Nachbildung</t>
  </si>
  <si>
    <t>5_4_3_2_1</t>
  </si>
  <si>
    <t>9,6_6,4_3,2_0</t>
  </si>
  <si>
    <t>10,8_6_4_0</t>
  </si>
  <si>
    <t>1_2</t>
  </si>
  <si>
    <t>A Held_A N=10_f = 1_f = 0,55</t>
  </si>
  <si>
    <t>A  N=2_A  N=25_f = 0,75_f = 0,52</t>
  </si>
  <si>
    <t>30_25_20_15_10_5</t>
  </si>
  <si>
    <t>720_600_521,7_480_360_240_120</t>
  </si>
  <si>
    <t>0_1_2_3_4_5</t>
  </si>
  <si>
    <t>1+D_1_1-D</t>
  </si>
  <si>
    <t>1-D_1_1+D</t>
  </si>
  <si>
    <t>1+D_1_L_1-D</t>
  </si>
  <si>
    <t>Stapel_1.Treffer_2.Treffer_3.Treffer</t>
  </si>
  <si>
    <t>=_+_+_X1_X2_X3</t>
  </si>
  <si>
    <t>Bauteil_Stahlskelett_Titanskelett_Stahlmantel_Carbonhülle_Titanschild_Railgun_Laser_Ionenkanone_Plasmastrahler_Ladebucht_großer Radar_Rettungsschiff_Standarddüsen_Fusionsantrieb</t>
  </si>
  <si>
    <t>Typ_Skelett_Skelett_Panzerung_Panzerung_Panzerung_Waffe_Waffe_Waffe_Waffe_Sonstiges_Sonstiges_Sonstiges_Antrieb_Antrieb</t>
  </si>
  <si>
    <t xml:space="preserve">Angriff_ _ _ _ _ _10_25_40_150_ _ _ _ _ </t>
  </si>
  <si>
    <t xml:space="preserve">Leben_50_300_50_100_300_ _ _ _ _ _ _5_ _ </t>
  </si>
  <si>
    <t>-3_-40_-10_-20_-50_-5_-15_-30_-70_-10_-10_-10_-2_-5</t>
  </si>
  <si>
    <t>Sonstiges_nur 1 Skelett erlaubt_nur 1 Skelett erlaubt_-10% Speed_teuer, aber kein Geschwinigkeitsverlust_-20% Speed 25% Schadensreduktion_nur für Fighter_leichte Wumme_Ignoriert Schadensreduktion_fette Wumme_Transportiert 10000 Rohstoffe_weiter sehen_Rettet die Crew bei Schiffszerstörung_langsam_schnell</t>
  </si>
  <si>
    <t>Raumschiff_Fighter_Orbitaljäger_Orbitaljäger_Schlacht-_Schlacht-_Schlacht-_Kommando-_Kommando-_Kommando-_Kommando-_Kommando-_schiff_schiff_schiff_korvette_korvette_korvette_korvette_korvette</t>
  </si>
  <si>
    <t>Einbauteile_ _ _ _2x_ _2x_2x_2x_6x_3x_3x</t>
  </si>
  <si>
    <t>A_9_24_48_48_144_24_144_168_144_120_72</t>
  </si>
  <si>
    <t>L_60_190_90_368_130_432_548_448_448_448_750</t>
  </si>
  <si>
    <t>Kampfkraft_94,5_57_54_62,805333_66,56_49,152_61,65_58,8_50,4_42_56,25</t>
  </si>
  <si>
    <t>Besonderheit_ _ _ _ _hoher Schaden_ _lahm,_hoher Schaden_hoher Schaden_ _Ionenkanone_lahm,gepanzert</t>
  </si>
  <si>
    <t>Kampfverfauf für L=2 N=2 D=0_Fall 1_Fall 2</t>
  </si>
  <si>
    <t>68,7_171,8_279</t>
  </si>
  <si>
    <t>fa·gAa·gLa_28963</t>
  </si>
  <si>
    <t>gLe·gAa_fe·gLe·gAe_56528_6137</t>
  </si>
  <si>
    <t>3.Reihe_2.Reihe_1.Reihe</t>
  </si>
  <si>
    <t>Gegner_Front_Gruppe e_Gegner_Front_Gruppe e</t>
  </si>
  <si>
    <t>Gruppe c_(gemischt)_Gruppe a</t>
  </si>
  <si>
    <t>Gegner_Front_Gruppe_Gegner_Front</t>
  </si>
  <si>
    <t>Gruppe_Gruppe</t>
  </si>
  <si>
    <t>blauer Stamm_roter Stamm_Restkampfkraft</t>
  </si>
  <si>
    <t>fa = 0,5_f = 0,5_fa = 0,8_f = 0,65</t>
  </si>
  <si>
    <t>fa = 0,6_f = 0,55_fa = 0,9_f = 0,7</t>
  </si>
  <si>
    <t>fa = 0,7_f = 0,6_fa = 1_f = 0,75</t>
  </si>
  <si>
    <t>gLa_gLc_gLe</t>
  </si>
  <si>
    <t>K(e)_gLe·gAc_gLe·gAa</t>
  </si>
  <si>
    <t>gAa_gAc_gAe</t>
  </si>
  <si>
    <t>Fall 1_Fall 2_Fall 3</t>
  </si>
  <si>
    <t>kurze Mischformel_lange Mischformel_dritte Mischformel</t>
  </si>
  <si>
    <t>Lrb&gt;La_Lrb&lt;La &amp; Lrb&gt;Lra_Lrb&lt;La &amp; Lrb&lt;Lra</t>
  </si>
  <si>
    <t>0_39_67,2_82,9_96,6_111,7_123_149</t>
  </si>
  <si>
    <t>0_18_21,2_24,75_29,7_33,8</t>
  </si>
  <si>
    <t>L1_L2_L3</t>
  </si>
  <si>
    <t>0_gLd_gL</t>
  </si>
  <si>
    <t>1/m_Ld_L</t>
  </si>
  <si>
    <t>Turm_Turm_Creeps</t>
  </si>
  <si>
    <t>Dorf_Bauernhof_Stadt_Stadt_Schatztruhe</t>
  </si>
  <si>
    <t>427_357_265_97</t>
  </si>
  <si>
    <t>214_159_58</t>
  </si>
  <si>
    <t>Truppe mit starkem Angriff_Einheit passt gut ins Team_Einheit passt schlecht ins Team</t>
  </si>
  <si>
    <t>L   A_Einheit liefert dringenden Schutz_Einheit steht nur rum</t>
  </si>
  <si>
    <t>Gegner mit starker Verteidigung_Gegner verliert eine Einheit_Gegner verliert eine Einheit</t>
  </si>
  <si>
    <t>L   A_N_N</t>
  </si>
  <si>
    <t>T1_T1_T1_1_2_3</t>
  </si>
  <si>
    <t>j</t>
  </si>
  <si>
    <r>
      <t>A  A(j)=0,0008</t>
    </r>
    <r>
      <rPr>
        <sz val="10"/>
        <rFont val="Calibri"/>
        <family val="2"/>
      </rPr>
      <t>·</t>
    </r>
    <r>
      <rPr>
        <sz val="10"/>
        <rFont val="Arial"/>
        <family val="2"/>
      </rPr>
      <t>j²+0,1</t>
    </r>
    <r>
      <rPr>
        <sz val="10"/>
        <rFont val="Calibri"/>
        <family val="2"/>
      </rPr>
      <t>·</t>
    </r>
    <r>
      <rPr>
        <sz val="10"/>
        <rFont val="Arial"/>
        <family val="2"/>
      </rPr>
      <t>j+3</t>
    </r>
  </si>
  <si>
    <t>Bauteiloptimierung</t>
  </si>
  <si>
    <t>4_5_6</t>
  </si>
  <si>
    <t>T1_T1_T1</t>
  </si>
  <si>
    <t>d</t>
  </si>
  <si>
    <t>d1</t>
  </si>
  <si>
    <t>Tetraeder Stutzen</t>
  </si>
  <si>
    <r>
      <t>3</t>
    </r>
    <r>
      <rPr>
        <sz val="10"/>
        <rFont val="Calibri"/>
        <family val="2"/>
      </rPr>
      <t>·</t>
    </r>
    <r>
      <rPr>
        <sz val="10"/>
        <rFont val="Arial"/>
        <family val="2"/>
      </rPr>
      <t>(1-D)</t>
    </r>
  </si>
  <si>
    <t>TetraederStutzen</t>
  </si>
  <si>
    <t>überdurchschnittlich viel Schaden</t>
  </si>
  <si>
    <t>A   D</t>
  </si>
  <si>
    <t>überdurchschnittlich oft treffen</t>
  </si>
  <si>
    <t>überdurchschnittlich viel einstecken</t>
  </si>
  <si>
    <t>Glück</t>
  </si>
  <si>
    <t>gleichmäßigere Schadensverteilung</t>
  </si>
  <si>
    <t>L  f</t>
  </si>
  <si>
    <t>kleine Armee</t>
  </si>
  <si>
    <t>große Armee</t>
  </si>
  <si>
    <t>Große Zahl</t>
  </si>
  <si>
    <t>Einfluss des gegnerischen Glücks</t>
  </si>
  <si>
    <t>Gegner macht mehr Schaden</t>
  </si>
  <si>
    <t>geGlück</t>
  </si>
  <si>
    <t>elliptisch</t>
  </si>
  <si>
    <t>zzByb</t>
  </si>
  <si>
    <t>zzBzb</t>
  </si>
  <si>
    <t>zzBzB</t>
  </si>
  <si>
    <t>K(a) Normalos =&gt; Axtkämpfer</t>
  </si>
  <si>
    <t>K(a) Deffer =&gt; Axtkämpfer</t>
  </si>
  <si>
    <t>K(a) Deffer =&gt; Normalos</t>
  </si>
  <si>
    <t>K(a) Axtkämpfer =&gt; Bogenschützen</t>
  </si>
  <si>
    <t>K(a) Normalos =&gt; Bogenschützen</t>
  </si>
  <si>
    <t>K(a) Deffer =&gt; Bogenschützen</t>
  </si>
  <si>
    <t>Hilfsobjekte</t>
  </si>
  <si>
    <t>mit Rundungen</t>
  </si>
  <si>
    <t xml:space="preserve"> </t>
  </si>
  <si>
    <t>K(a) Bogen =&gt; Schild</t>
  </si>
  <si>
    <t>K(a) Bogen =&gt; Schurke</t>
  </si>
  <si>
    <t>K(a) Bogen =&gt; Samurai</t>
  </si>
  <si>
    <t>K(a) Schild =&gt; Schurke</t>
  </si>
  <si>
    <t>K(a) Schild =&gt; Samurai</t>
  </si>
  <si>
    <t>K(a) Schurke =&gt; Samurai</t>
  </si>
  <si>
    <t>zy</t>
  </si>
  <si>
    <t>zzb</t>
  </si>
  <si>
    <t>zzzB</t>
  </si>
  <si>
    <t>zzY</t>
  </si>
  <si>
    <t>zzzb</t>
  </si>
  <si>
    <t>zzBb</t>
  </si>
  <si>
    <t>zzB</t>
  </si>
  <si>
    <t>zYb</t>
  </si>
  <si>
    <t>Massenoptimierung</t>
  </si>
  <si>
    <t>Mischkampf</t>
  </si>
  <si>
    <t>zweiheitlich</t>
  </si>
  <si>
    <t>P4</t>
  </si>
  <si>
    <t>P5</t>
  </si>
  <si>
    <t>P6</t>
  </si>
  <si>
    <t>uneinheitlich</t>
  </si>
  <si>
    <t>®</t>
  </si>
  <si>
    <t>+_+_+_+_+</t>
  </si>
  <si>
    <t>P0</t>
  </si>
  <si>
    <t>tK1_tK2_tK3_tK4_tK5_tK6</t>
  </si>
  <si>
    <t>-_=_-</t>
  </si>
  <si>
    <t>erste Teilkampfkraft subtrahieren_weitere Teilkampfkräfte subtrahieren_bis der Gegner besiegt ist</t>
  </si>
  <si>
    <t>Rest L</t>
  </si>
  <si>
    <t>tL</t>
  </si>
  <si>
    <t>tA</t>
  </si>
  <si>
    <t>P(L1;A1)</t>
  </si>
  <si>
    <t>P(L2;A2)</t>
  </si>
  <si>
    <t>P1_P2_P3_P4</t>
  </si>
  <si>
    <t>Deckchins</t>
  </si>
  <si>
    <t>tK1_tK2_tK3_tK4_Zekkadauria</t>
  </si>
  <si>
    <t>erste Teilkampfkraft subtrahieren_weitere Teilkampfkräfte subtrahieren_bis Zekkadauria besiegt ist</t>
  </si>
  <si>
    <t>K=36250_geK=34650_13750_22500_12150_22500</t>
  </si>
  <si>
    <t>13750_22500_12150_22500_7500_28750_5900_28750</t>
  </si>
  <si>
    <t>gL=300</t>
  </si>
  <si>
    <t>gegL=210</t>
  </si>
  <si>
    <t>gA=_150</t>
  </si>
  <si>
    <t>gegA=_220</t>
  </si>
  <si>
    <t>Rest L  tL=10</t>
  </si>
  <si>
    <t>tA=80</t>
  </si>
  <si>
    <t>e</t>
  </si>
  <si>
    <t>K(e)</t>
  </si>
  <si>
    <t>A    Kampfverlauf auf niedrige Verluste optimiert</t>
  </si>
  <si>
    <t>gLde</t>
  </si>
  <si>
    <t>gLre</t>
  </si>
  <si>
    <t>verlustfreie Kampfkraft</t>
  </si>
  <si>
    <t>verlustfreie_Kampfkraft</t>
  </si>
  <si>
    <t>guter Kampfverlauf</t>
  </si>
  <si>
    <t>A nur Austeiler</t>
  </si>
  <si>
    <t>A nur Einstecker</t>
  </si>
  <si>
    <t>Austeiler</t>
  </si>
  <si>
    <t>Einstecker</t>
  </si>
  <si>
    <t>A Halbe-Halbe</t>
  </si>
  <si>
    <t>A Optimum</t>
  </si>
  <si>
    <t>A Opt La:=0</t>
  </si>
  <si>
    <t>A Opt unbesiegbar</t>
  </si>
  <si>
    <t>a=20;e=0_K= 5400</t>
  </si>
  <si>
    <t>K= 6800  a=0; e=20</t>
  </si>
  <si>
    <t>Kampfverlaufsbogen</t>
  </si>
  <si>
    <t>zweiheitliche Optimierung_fa= 0,75  La=3  Aa=6_fe= 0,85  Le=10  Ae=2_Wa=1  We=1  W=20</t>
  </si>
  <si>
    <t>Mischformel</t>
  </si>
  <si>
    <t>Mischoptimierung_fa= 0,8  La=6  Aa=1_fb= 0,85  Lb=10  Ab=10_Wa=0,5  Wb=2  W=20</t>
  </si>
  <si>
    <t>kAnonenfutter</t>
  </si>
  <si>
    <t>b=10;a=0_K= 8500</t>
  </si>
  <si>
    <t>K= 7680  b=0; a=40</t>
  </si>
  <si>
    <t>zB</t>
  </si>
  <si>
    <t>cxX</t>
  </si>
  <si>
    <t>czX</t>
  </si>
  <si>
    <t>zzX</t>
  </si>
  <si>
    <t>czY</t>
  </si>
  <si>
    <t>zziiiiiiiiziiiiiiiiiiz</t>
  </si>
  <si>
    <t>zziiiiiiiiiziiiiiiiiiz</t>
  </si>
  <si>
    <t>ziiiiiiiiiiiiziiiiiiz</t>
  </si>
  <si>
    <t>0biy0Bi</t>
  </si>
  <si>
    <t>Jiiiiiiiiiiiiiiiiiiiiii</t>
  </si>
  <si>
    <t>JJJiiiiiiiiiiiiiiiiiiiiii</t>
  </si>
  <si>
    <t>JJJJJiiiiiiiiiiiiiiiiiiiiii</t>
  </si>
  <si>
    <t>A  nur Blocker</t>
  </si>
  <si>
    <t>A  nur kAnonenfutter</t>
  </si>
  <si>
    <t>A  Halbe-Halbe</t>
  </si>
  <si>
    <t>A  Optimum</t>
  </si>
  <si>
    <t>P1=(L1;A1)</t>
  </si>
  <si>
    <t>P3=(L3;A3)</t>
  </si>
  <si>
    <t>P2=(L2;A2)</t>
  </si>
  <si>
    <t>20_42_18_90</t>
  </si>
  <si>
    <t>b·(Lb-La)_n·(Lrb-Lra)</t>
  </si>
  <si>
    <t>n·(La-Lrb)_n·Lra</t>
  </si>
  <si>
    <t>WMFbeispiel</t>
  </si>
  <si>
    <t>zzbiy</t>
  </si>
  <si>
    <t>zzziz</t>
  </si>
  <si>
    <t>K(a;b)     Optimum</t>
  </si>
  <si>
    <t>Prüfen</t>
  </si>
  <si>
    <t>Prüfen:</t>
  </si>
  <si>
    <t>L-(1+Int(L))·(1-D) &lt; 0</t>
  </si>
  <si>
    <r>
      <t>Int(L)·</t>
    </r>
    <r>
      <rPr>
        <sz val="10"/>
        <rFont val="Arial"/>
      </rPr>
      <t>(1+D)-L &lt; 0 und_Ja_Nein</t>
    </r>
  </si>
  <si>
    <t>x1 Fenster</t>
  </si>
  <si>
    <t>y1 Fenster</t>
  </si>
  <si>
    <t>x2 Fenster</t>
  </si>
  <si>
    <t>y2 Fenster</t>
  </si>
  <si>
    <t>Name der X Axe</t>
  </si>
  <si>
    <t>LegendeX</t>
  </si>
  <si>
    <t>Überschrift</t>
  </si>
  <si>
    <t>Pfeilfüller</t>
  </si>
  <si>
    <t>Pfeilfarbe</t>
  </si>
  <si>
    <t>Xuzu</t>
  </si>
  <si>
    <t>Name der Y Axe</t>
  </si>
  <si>
    <t>LegendeY</t>
  </si>
  <si>
    <t>Kurven</t>
  </si>
  <si>
    <t>Kurve1</t>
  </si>
  <si>
    <t>Yuzu</t>
  </si>
  <si>
    <t>Y1 Wertearray</t>
  </si>
  <si>
    <t>Kurve2</t>
  </si>
  <si>
    <t>Y2 Wertearray</t>
  </si>
  <si>
    <t>Kurve3</t>
  </si>
  <si>
    <t>Y3 Wertearray</t>
  </si>
  <si>
    <t>Alt</t>
  </si>
  <si>
    <t>Neu</t>
  </si>
  <si>
    <t>Kopieren</t>
  </si>
  <si>
    <t>Polymaßkette</t>
  </si>
  <si>
    <t>L3</t>
  </si>
  <si>
    <t>HerleitungKurzeMischformel</t>
  </si>
  <si>
    <t>HerleitungKurzeMischformel2</t>
  </si>
  <si>
    <t>HerleitungKurzeMischformel3</t>
  </si>
  <si>
    <t>HerleitungLangeMischformel2</t>
  </si>
  <si>
    <t>HerleitungDritteMischformel2</t>
  </si>
  <si>
    <t>HerleitungLangeMischformel3</t>
  </si>
  <si>
    <t>HerleitungDritteMischformel3</t>
  </si>
  <si>
    <t>HerleitungDritteMischformel2a</t>
  </si>
  <si>
    <t>dividierterKampfverlauf</t>
  </si>
  <si>
    <t>LebenproEinheit</t>
  </si>
  <si>
    <t>WenTöteIchZuerst</t>
  </si>
  <si>
    <t>Zauber</t>
  </si>
  <si>
    <t>ZauberZweiheitlicheBeschwörung</t>
  </si>
  <si>
    <t>schlechtesBeispiel</t>
  </si>
  <si>
    <t>beschädigteFlotten</t>
  </si>
  <si>
    <t>beschädigteFlotten2</t>
  </si>
  <si>
    <t>beschädigteFlottenR</t>
  </si>
  <si>
    <t>zweiheitlicherKampfverlauf</t>
  </si>
  <si>
    <t>DiagrammQuadrant1</t>
  </si>
  <si>
    <t>LUAbgerundet</t>
  </si>
  <si>
    <t>getreppterKampfverlauf</t>
  </si>
  <si>
    <t>KämpfeMitTreppen</t>
  </si>
  <si>
    <t>LebenMitÜberschaden</t>
  </si>
  <si>
    <t>Banditenbeispiel13</t>
  </si>
  <si>
    <t>3Tformel1Zerlegung</t>
  </si>
  <si>
    <t>3Tformel2Zerlegung</t>
  </si>
  <si>
    <t>Schadensbereiche4Treffer</t>
  </si>
  <si>
    <t>KampfverlaufN2L2</t>
  </si>
  <si>
    <t>KampfverlaufN4L2</t>
  </si>
  <si>
    <t>zweiheitlicherKampf</t>
  </si>
  <si>
    <t>ausgeglichenerKampf</t>
  </si>
  <si>
    <t>dreiheitlicherKampf</t>
  </si>
  <si>
    <t>KampfverläufeD01</t>
  </si>
  <si>
    <t>langeMischformel</t>
  </si>
  <si>
    <t>kurzeMischformel</t>
  </si>
  <si>
    <t>ÜbersichtDerMischformeln</t>
  </si>
  <si>
    <t>ÜbersichtDerDiagrammpunkte</t>
  </si>
  <si>
    <t>dreiheitlichesBeispiel</t>
  </si>
  <si>
    <t>WMFlogo</t>
  </si>
  <si>
    <t>ZauberBewegungstempo</t>
  </si>
  <si>
    <t>Blocker</t>
  </si>
  <si>
    <t>leicht beschädigt</t>
  </si>
  <si>
    <t>veraltete Diagrammsyntax</t>
  </si>
  <si>
    <t>Die Polymaßkette entstand für den WMF-Balken und kommt hier nicht vor.</t>
  </si>
  <si>
    <t>Alle Grafiken habe ich vor dem WMF-Balken entwickelt.</t>
  </si>
  <si>
    <t>Später habe ich die ersten Grafiken überarbeitet und Linien und Dreiecke durch höhere Objekte wie Maßketten ersetzt.</t>
  </si>
  <si>
    <t>Zum Beginn (Januar 2013) gab es keine höheren Objekte wie Pfeile und Maßketten.</t>
  </si>
  <si>
    <t>Die Überarbeitung verkürzte alles um fast 1000 Zeilen</t>
  </si>
  <si>
    <t>Für dem WMF-Balken bekamen Maßketten und Bimaßketten auch einen Text.</t>
  </si>
  <si>
    <t>Für eine Maßkette habe ich die Koordinaten der 3 Linien, 2 Dreiecke und dem Text individuell berechnet.</t>
  </si>
  <si>
    <t>Bimaßketten, Maßketten, Diagramme und Polytexte wurden verbreitet</t>
  </si>
  <si>
    <t>Ich zeichnete eine Bimaßkette und fügte einzelne Linien und Pfeilspitzen individuell hinzu.</t>
  </si>
  <si>
    <t>Der Text erscheint als separates Textobjekt.</t>
  </si>
  <si>
    <t>Für Diagramme gab es ein Hilfsarbeitsblatt, aus dem ich mir die Polylinie rauskopieren konnte.</t>
  </si>
  <si>
    <t>Was im WMF-Balken komfortabel mit einer Zeile geht, braucht hier viele Einzelobjekte mit komplizierten Formeln.</t>
  </si>
  <si>
    <t>Das Diagramm musste den Anforderungen des WMF-Balkens genügen.</t>
  </si>
  <si>
    <t>Die Syntax aller Diagramme musste angepasst werden. Einige veränderten sich leicht.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</si>
</sst>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name val="Symbol"/>
      <family val="1"/>
      <charset val="2"/>
    </font>
    <font>
      <sz val="10"/>
      <name val="Arial Narrow"/>
      <family val="2"/>
    </font>
    <font>
      <sz val="10"/>
      <color rgb="FF00B050"/>
      <name val="Arial"/>
      <family val="2"/>
    </font>
    <font>
      <sz val="10"/>
      <color theme="3" tint="0.39997558519241921"/>
      <name val="Arial"/>
      <family val="2"/>
    </font>
    <font>
      <sz val="10"/>
      <color rgb="FFFFC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0" xfId="0" applyNumberFormat="1" applyFont="1"/>
    <xf numFmtId="0" fontId="6" fillId="0" borderId="0" xfId="0" applyFont="1"/>
    <xf numFmtId="0" fontId="0" fillId="2" borderId="0" xfId="0" applyFill="1"/>
    <xf numFmtId="0" fontId="0" fillId="0" borderId="0" xfId="0" applyFill="1"/>
    <xf numFmtId="0" fontId="6" fillId="0" borderId="0" xfId="0" applyNumberFormat="1" applyFont="1"/>
    <xf numFmtId="0" fontId="0" fillId="0" borderId="1" xfId="0" applyBorder="1"/>
    <xf numFmtId="0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0" fillId="0" borderId="0" xfId="0" applyBorder="1"/>
    <xf numFmtId="0" fontId="0" fillId="0" borderId="0" xfId="0" applyNumberFormat="1" applyBorder="1"/>
    <xf numFmtId="0" fontId="6" fillId="0" borderId="0" xfId="0" applyNumberFormat="1" applyFont="1" applyBorder="1"/>
    <xf numFmtId="0" fontId="1" fillId="0" borderId="0" xfId="0" applyFon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8" xfId="0" applyNumberFormat="1" applyBorder="1"/>
    <xf numFmtId="0" fontId="6" fillId="0" borderId="7" xfId="0" applyNumberFormat="1" applyFont="1" applyBorder="1"/>
    <xf numFmtId="0" fontId="6" fillId="0" borderId="4" xfId="0" applyNumberFormat="1" applyFont="1" applyBorder="1"/>
    <xf numFmtId="0" fontId="6" fillId="0" borderId="8" xfId="0" applyNumberFormat="1" applyFont="1" applyBorder="1"/>
    <xf numFmtId="0" fontId="0" fillId="0" borderId="0" xfId="0" applyNumberFormat="1" applyFont="1"/>
    <xf numFmtId="0" fontId="0" fillId="0" borderId="0" xfId="0" applyNumberFormat="1" applyFill="1"/>
    <xf numFmtId="0" fontId="6" fillId="0" borderId="0" xfId="0" applyFont="1" applyFill="1"/>
    <xf numFmtId="0" fontId="0" fillId="0" borderId="3" xfId="0" applyNumberFormat="1" applyBorder="1"/>
    <xf numFmtId="0" fontId="0" fillId="0" borderId="8" xfId="0" applyBorder="1"/>
    <xf numFmtId="0" fontId="6" fillId="0" borderId="0" xfId="0" applyFont="1" applyBorder="1"/>
    <xf numFmtId="0" fontId="0" fillId="0" borderId="9" xfId="0" applyNumberFormat="1" applyBorder="1"/>
    <xf numFmtId="0" fontId="0" fillId="0" borderId="6" xfId="0" applyNumberFormat="1" applyBorder="1"/>
    <xf numFmtId="0" fontId="1" fillId="0" borderId="0" xfId="0" applyFont="1" applyFill="1"/>
    <xf numFmtId="0" fontId="0" fillId="0" borderId="0" xfId="0" quotePrefix="1" applyFill="1"/>
    <xf numFmtId="0" fontId="6" fillId="0" borderId="0" xfId="0" applyNumberFormat="1" applyFont="1" applyFill="1"/>
    <xf numFmtId="0" fontId="1" fillId="0" borderId="0" xfId="0" applyFont="1" applyFill="1" applyBorder="1"/>
    <xf numFmtId="0" fontId="6" fillId="0" borderId="0" xfId="0" applyNumberFormat="1" applyFont="1" applyFill="1" applyBorder="1"/>
    <xf numFmtId="0" fontId="1" fillId="0" borderId="0" xfId="0" applyNumberFormat="1" applyFont="1" applyFill="1"/>
    <xf numFmtId="0" fontId="1" fillId="0" borderId="0" xfId="0" quotePrefix="1" applyNumberFormat="1" applyFont="1" applyFill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quotePrefix="1" applyNumberFormat="1" applyFill="1"/>
    <xf numFmtId="0" fontId="7" fillId="0" borderId="0" xfId="0" applyNumberFormat="1" applyFont="1" applyFill="1"/>
    <xf numFmtId="49" fontId="0" fillId="0" borderId="0" xfId="0" applyNumberFormat="1" applyFill="1"/>
    <xf numFmtId="49" fontId="1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8" fillId="0" borderId="0" xfId="0" applyFont="1"/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7" fillId="0" borderId="0" xfId="0" applyNumberFormat="1" applyFont="1"/>
    <xf numFmtId="0" fontId="1" fillId="0" borderId="0" xfId="0" quotePrefix="1" applyNumberFormat="1" applyFont="1"/>
    <xf numFmtId="0" fontId="0" fillId="0" borderId="0" xfId="0" quotePrefix="1" applyNumberFormat="1"/>
    <xf numFmtId="0" fontId="0" fillId="0" borderId="0" xfId="0" applyFont="1"/>
    <xf numFmtId="0" fontId="9" fillId="0" borderId="0" xfId="0" applyNumberFormat="1" applyFont="1"/>
    <xf numFmtId="0" fontId="10" fillId="0" borderId="0" xfId="0" applyNumberFormat="1" applyFont="1"/>
    <xf numFmtId="0" fontId="0" fillId="2" borderId="0" xfId="0" applyNumberFormat="1" applyFill="1"/>
    <xf numFmtId="0" fontId="11" fillId="0" borderId="0" xfId="0" applyNumberFormat="1" applyFont="1"/>
    <xf numFmtId="0" fontId="0" fillId="0" borderId="0" xfId="0" applyNumberFormat="1" applyFont="1" applyFill="1"/>
    <xf numFmtId="0" fontId="1" fillId="3" borderId="0" xfId="0" applyFont="1" applyFill="1"/>
    <xf numFmtId="0" fontId="0" fillId="3" borderId="0" xfId="0" applyFill="1"/>
    <xf numFmtId="0" fontId="1" fillId="2" borderId="0" xfId="0" applyFont="1" applyFill="1"/>
    <xf numFmtId="0" fontId="0" fillId="4" borderId="0" xfId="0" applyFill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26" Type="http://schemas.openxmlformats.org/officeDocument/2006/relationships/image" Target="../media/image26.wmf"/><Relationship Id="rId39" Type="http://schemas.openxmlformats.org/officeDocument/2006/relationships/image" Target="../media/image39.wmf"/><Relationship Id="rId21" Type="http://schemas.openxmlformats.org/officeDocument/2006/relationships/image" Target="../media/image21.wmf"/><Relationship Id="rId34" Type="http://schemas.openxmlformats.org/officeDocument/2006/relationships/image" Target="../media/image34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63" Type="http://schemas.openxmlformats.org/officeDocument/2006/relationships/image" Target="../media/image63.wmf"/><Relationship Id="rId68" Type="http://schemas.openxmlformats.org/officeDocument/2006/relationships/image" Target="../media/image68.wmf"/><Relationship Id="rId76" Type="http://schemas.openxmlformats.org/officeDocument/2006/relationships/image" Target="../media/image76.wmf"/><Relationship Id="rId7" Type="http://schemas.openxmlformats.org/officeDocument/2006/relationships/image" Target="../media/image7.wmf"/><Relationship Id="rId71" Type="http://schemas.openxmlformats.org/officeDocument/2006/relationships/image" Target="../media/image71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9" Type="http://schemas.openxmlformats.org/officeDocument/2006/relationships/image" Target="../media/image29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66" Type="http://schemas.openxmlformats.org/officeDocument/2006/relationships/image" Target="../media/image66.wmf"/><Relationship Id="rId74" Type="http://schemas.openxmlformats.org/officeDocument/2006/relationships/image" Target="../media/image74.wmf"/><Relationship Id="rId79" Type="http://schemas.openxmlformats.org/officeDocument/2006/relationships/image" Target="../media/image79.wmf"/><Relationship Id="rId5" Type="http://schemas.openxmlformats.org/officeDocument/2006/relationships/image" Target="../media/image5.wmf"/><Relationship Id="rId61" Type="http://schemas.openxmlformats.org/officeDocument/2006/relationships/image" Target="../media/image61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65" Type="http://schemas.openxmlformats.org/officeDocument/2006/relationships/image" Target="../media/image65.wmf"/><Relationship Id="rId73" Type="http://schemas.openxmlformats.org/officeDocument/2006/relationships/image" Target="../media/image73.wmf"/><Relationship Id="rId78" Type="http://schemas.openxmlformats.org/officeDocument/2006/relationships/image" Target="../media/image78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56" Type="http://schemas.openxmlformats.org/officeDocument/2006/relationships/image" Target="../media/image56.wmf"/><Relationship Id="rId64" Type="http://schemas.openxmlformats.org/officeDocument/2006/relationships/image" Target="../media/image64.wmf"/><Relationship Id="rId69" Type="http://schemas.openxmlformats.org/officeDocument/2006/relationships/image" Target="../media/image69.wmf"/><Relationship Id="rId77" Type="http://schemas.openxmlformats.org/officeDocument/2006/relationships/image" Target="../media/image77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72" Type="http://schemas.openxmlformats.org/officeDocument/2006/relationships/image" Target="../media/image72.wmf"/><Relationship Id="rId80" Type="http://schemas.openxmlformats.org/officeDocument/2006/relationships/image" Target="../media/image80.wmf"/><Relationship Id="rId3" Type="http://schemas.openxmlformats.org/officeDocument/2006/relationships/image" Target="../media/image3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46" Type="http://schemas.openxmlformats.org/officeDocument/2006/relationships/image" Target="../media/image46.wmf"/><Relationship Id="rId59" Type="http://schemas.openxmlformats.org/officeDocument/2006/relationships/image" Target="../media/image59.wmf"/><Relationship Id="rId67" Type="http://schemas.openxmlformats.org/officeDocument/2006/relationships/image" Target="../media/image67.wmf"/><Relationship Id="rId20" Type="http://schemas.openxmlformats.org/officeDocument/2006/relationships/image" Target="../media/image20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70" Type="http://schemas.openxmlformats.org/officeDocument/2006/relationships/image" Target="../media/image70.wmf"/><Relationship Id="rId75" Type="http://schemas.openxmlformats.org/officeDocument/2006/relationships/image" Target="../media/image75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209550</xdr:colOff>
      <xdr:row>4557</xdr:row>
      <xdr:rowOff>152400</xdr:rowOff>
    </xdr:from>
    <xdr:to>
      <xdr:col>31</xdr:col>
      <xdr:colOff>209550</xdr:colOff>
      <xdr:row>4576</xdr:row>
      <xdr:rowOff>123825</xdr:rowOff>
    </xdr:to>
    <xdr:pic>
      <xdr:nvPicPr>
        <xdr:cNvPr id="2" name="Grafik 1" descr="KampfBogen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11050" y="737235000"/>
          <a:ext cx="5715000" cy="3048000"/>
        </a:xfrm>
        <a:prstGeom prst="rect">
          <a:avLst/>
        </a:prstGeom>
      </xdr:spPr>
    </xdr:pic>
    <xdr:clientData/>
  </xdr:twoCellAnchor>
  <xdr:twoCellAnchor editAs="oneCell">
    <xdr:from>
      <xdr:col>21</xdr:col>
      <xdr:colOff>238125</xdr:colOff>
      <xdr:row>4619</xdr:row>
      <xdr:rowOff>57150</xdr:rowOff>
    </xdr:from>
    <xdr:to>
      <xdr:col>31</xdr:col>
      <xdr:colOff>238125</xdr:colOff>
      <xdr:row>4638</xdr:row>
      <xdr:rowOff>28575</xdr:rowOff>
    </xdr:to>
    <xdr:pic>
      <xdr:nvPicPr>
        <xdr:cNvPr id="3" name="Grafik 2" descr="KampfBogen2.w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49150" y="747179100"/>
          <a:ext cx="5715000" cy="3048000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30</xdr:row>
      <xdr:rowOff>123825</xdr:rowOff>
    </xdr:from>
    <xdr:to>
      <xdr:col>22</xdr:col>
      <xdr:colOff>447675</xdr:colOff>
      <xdr:row>46</xdr:row>
      <xdr:rowOff>152400</xdr:rowOff>
    </xdr:to>
    <xdr:pic>
      <xdr:nvPicPr>
        <xdr:cNvPr id="4" name="Grafik 3" descr="Kampfverlauf.wm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05950" y="4495800"/>
          <a:ext cx="3524250" cy="26193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11</xdr:col>
      <xdr:colOff>66675</xdr:colOff>
      <xdr:row>59</xdr:row>
      <xdr:rowOff>76200</xdr:rowOff>
    </xdr:from>
    <xdr:to>
      <xdr:col>17</xdr:col>
      <xdr:colOff>19050</xdr:colOff>
      <xdr:row>68</xdr:row>
      <xdr:rowOff>104775</xdr:rowOff>
    </xdr:to>
    <xdr:pic>
      <xdr:nvPicPr>
        <xdr:cNvPr id="5" name="Grafik 4" descr="vKampfverlauf.wmf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53175" y="9144000"/>
          <a:ext cx="3381375" cy="14859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9</xdr:col>
      <xdr:colOff>381000</xdr:colOff>
      <xdr:row>96</xdr:row>
      <xdr:rowOff>133350</xdr:rowOff>
    </xdr:from>
    <xdr:to>
      <xdr:col>17</xdr:col>
      <xdr:colOff>142875</xdr:colOff>
      <xdr:row>111</xdr:row>
      <xdr:rowOff>133350</xdr:rowOff>
    </xdr:to>
    <xdr:pic>
      <xdr:nvPicPr>
        <xdr:cNvPr id="6" name="Grafik 5" descr="zweiheitlicherKampfverlauf.wmf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24500" y="15192375"/>
          <a:ext cx="4333875" cy="24288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104775</xdr:colOff>
      <xdr:row>131</xdr:row>
      <xdr:rowOff>38100</xdr:rowOff>
    </xdr:from>
    <xdr:to>
      <xdr:col>17</xdr:col>
      <xdr:colOff>438150</xdr:colOff>
      <xdr:row>146</xdr:row>
      <xdr:rowOff>38100</xdr:rowOff>
    </xdr:to>
    <xdr:pic>
      <xdr:nvPicPr>
        <xdr:cNvPr id="7" name="Grafik 6" descr="zweiheitlicherKampfverlauf.wmf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9775" y="20764500"/>
          <a:ext cx="4333875" cy="24288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8</xdr:col>
      <xdr:colOff>466725</xdr:colOff>
      <xdr:row>172</xdr:row>
      <xdr:rowOff>85725</xdr:rowOff>
    </xdr:from>
    <xdr:to>
      <xdr:col>19</xdr:col>
      <xdr:colOff>0</xdr:colOff>
      <xdr:row>181</xdr:row>
      <xdr:rowOff>66675</xdr:rowOff>
    </xdr:to>
    <xdr:pic>
      <xdr:nvPicPr>
        <xdr:cNvPr id="8" name="Grafik 7" descr="Subtraxion.wmf"/>
        <xdr:cNvPicPr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038725" y="27451050"/>
          <a:ext cx="5819775" cy="14382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8</xdr:col>
      <xdr:colOff>552450</xdr:colOff>
      <xdr:row>197</xdr:row>
      <xdr:rowOff>114300</xdr:rowOff>
    </xdr:from>
    <xdr:to>
      <xdr:col>17</xdr:col>
      <xdr:colOff>449579</xdr:colOff>
      <xdr:row>211</xdr:row>
      <xdr:rowOff>144779</xdr:rowOff>
    </xdr:to>
    <xdr:pic>
      <xdr:nvPicPr>
        <xdr:cNvPr id="9" name="Grafik 8" descr="Subtraxion2.wmf"/>
        <xdr:cNvPicPr>
          <a:picLocks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124450" y="31527750"/>
          <a:ext cx="5040629" cy="2297429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235</xdr:row>
      <xdr:rowOff>0</xdr:rowOff>
    </xdr:from>
    <xdr:to>
      <xdr:col>20</xdr:col>
      <xdr:colOff>95250</xdr:colOff>
      <xdr:row>242</xdr:row>
      <xdr:rowOff>57150</xdr:rowOff>
    </xdr:to>
    <xdr:pic>
      <xdr:nvPicPr>
        <xdr:cNvPr id="10" name="Grafik 9" descr="Kampfdiagramm.wmf"/>
        <xdr:cNvPicPr>
          <a:picLocks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715000" y="37566600"/>
          <a:ext cx="5810250" cy="11906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258</xdr:row>
      <xdr:rowOff>0</xdr:rowOff>
    </xdr:from>
    <xdr:to>
      <xdr:col>15</xdr:col>
      <xdr:colOff>47625</xdr:colOff>
      <xdr:row>265</xdr:row>
      <xdr:rowOff>57150</xdr:rowOff>
    </xdr:to>
    <xdr:pic>
      <xdr:nvPicPr>
        <xdr:cNvPr id="11" name="Grafik 10" descr="DiagrammQuadrant1.wmf"/>
        <xdr:cNvPicPr>
          <a:picLocks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715000" y="41290875"/>
          <a:ext cx="2905125" cy="11906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281</xdr:row>
      <xdr:rowOff>0</xdr:rowOff>
    </xdr:from>
    <xdr:to>
      <xdr:col>19</xdr:col>
      <xdr:colOff>190500</xdr:colOff>
      <xdr:row>288</xdr:row>
      <xdr:rowOff>57150</xdr:rowOff>
    </xdr:to>
    <xdr:pic>
      <xdr:nvPicPr>
        <xdr:cNvPr id="12" name="Grafik 11" descr="LUAbgerundet.wmf"/>
        <xdr:cNvPicPr>
          <a:picLocks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715000" y="45015150"/>
          <a:ext cx="5334000" cy="11906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317</xdr:row>
      <xdr:rowOff>0</xdr:rowOff>
    </xdr:from>
    <xdr:to>
      <xdr:col>15</xdr:col>
      <xdr:colOff>95250</xdr:colOff>
      <xdr:row>341</xdr:row>
      <xdr:rowOff>19050</xdr:rowOff>
    </xdr:to>
    <xdr:pic>
      <xdr:nvPicPr>
        <xdr:cNvPr id="13" name="Grafik 12" descr="HV.wmf"/>
        <xdr:cNvPicPr>
          <a:picLocks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715000" y="50844450"/>
          <a:ext cx="2952750" cy="3905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352</xdr:row>
      <xdr:rowOff>0</xdr:rowOff>
    </xdr:from>
    <xdr:to>
      <xdr:col>15</xdr:col>
      <xdr:colOff>95250</xdr:colOff>
      <xdr:row>358</xdr:row>
      <xdr:rowOff>76200</xdr:rowOff>
    </xdr:to>
    <xdr:pic>
      <xdr:nvPicPr>
        <xdr:cNvPr id="14" name="Grafik 13" descr="Hilfsterm.wmf"/>
        <xdr:cNvPicPr>
          <a:picLocks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715000" y="56511825"/>
          <a:ext cx="2952750" cy="10477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374</xdr:row>
      <xdr:rowOff>0</xdr:rowOff>
    </xdr:from>
    <xdr:to>
      <xdr:col>20</xdr:col>
      <xdr:colOff>95250</xdr:colOff>
      <xdr:row>380</xdr:row>
      <xdr:rowOff>76200</xdr:rowOff>
    </xdr:to>
    <xdr:pic>
      <xdr:nvPicPr>
        <xdr:cNvPr id="15" name="Grafik 14" descr="HV2.wmf"/>
        <xdr:cNvPicPr>
          <a:picLocks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715000" y="60074175"/>
          <a:ext cx="5810250" cy="10477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11</xdr:col>
      <xdr:colOff>0</xdr:colOff>
      <xdr:row>400</xdr:row>
      <xdr:rowOff>0</xdr:rowOff>
    </xdr:from>
    <xdr:to>
      <xdr:col>16</xdr:col>
      <xdr:colOff>123825</xdr:colOff>
      <xdr:row>415</xdr:row>
      <xdr:rowOff>4762</xdr:rowOff>
    </xdr:to>
    <xdr:pic>
      <xdr:nvPicPr>
        <xdr:cNvPr id="19" name="Grafik 18" descr="Grid.wmf"/>
        <xdr:cNvPicPr>
          <a:picLocks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286500" y="64284225"/>
          <a:ext cx="2981325" cy="2433637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14</xdr:col>
      <xdr:colOff>0</xdr:colOff>
      <xdr:row>424</xdr:row>
      <xdr:rowOff>0</xdr:rowOff>
    </xdr:from>
    <xdr:to>
      <xdr:col>19</xdr:col>
      <xdr:colOff>142875</xdr:colOff>
      <xdr:row>443</xdr:row>
      <xdr:rowOff>66675</xdr:rowOff>
    </xdr:to>
    <xdr:pic>
      <xdr:nvPicPr>
        <xdr:cNvPr id="20" name="Grafik 19" descr="Würfel.wmf"/>
        <xdr:cNvPicPr>
          <a:picLocks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8001000" y="68170425"/>
          <a:ext cx="3000375" cy="3143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498</xdr:row>
      <xdr:rowOff>0</xdr:rowOff>
    </xdr:from>
    <xdr:to>
      <xdr:col>20</xdr:col>
      <xdr:colOff>0</xdr:colOff>
      <xdr:row>533</xdr:row>
      <xdr:rowOff>47625</xdr:rowOff>
    </xdr:to>
    <xdr:pic>
      <xdr:nvPicPr>
        <xdr:cNvPr id="23" name="Grafik 22" descr="Tesserakt.wmf"/>
        <xdr:cNvPicPr>
          <a:picLocks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715000" y="80152875"/>
          <a:ext cx="5715000" cy="57150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706</xdr:row>
      <xdr:rowOff>0</xdr:rowOff>
    </xdr:from>
    <xdr:to>
      <xdr:col>14</xdr:col>
      <xdr:colOff>152400</xdr:colOff>
      <xdr:row>722</xdr:row>
      <xdr:rowOff>114300</xdr:rowOff>
    </xdr:to>
    <xdr:pic>
      <xdr:nvPicPr>
        <xdr:cNvPr id="24" name="Grafik 23" descr="Tesserakt2.wmf"/>
        <xdr:cNvPicPr>
          <a:picLocks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715000" y="113833275"/>
          <a:ext cx="2438400" cy="27051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12</xdr:col>
      <xdr:colOff>0</xdr:colOff>
      <xdr:row>753</xdr:row>
      <xdr:rowOff>0</xdr:rowOff>
    </xdr:from>
    <xdr:to>
      <xdr:col>15</xdr:col>
      <xdr:colOff>238125</xdr:colOff>
      <xdr:row>768</xdr:row>
      <xdr:rowOff>0</xdr:rowOff>
    </xdr:to>
    <xdr:pic>
      <xdr:nvPicPr>
        <xdr:cNvPr id="25" name="Grafik 24" descr="Würfel2.wmf"/>
        <xdr:cNvPicPr>
          <a:picLocks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858000" y="121443750"/>
          <a:ext cx="1952625" cy="24288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9</xdr:col>
      <xdr:colOff>0</xdr:colOff>
      <xdr:row>781</xdr:row>
      <xdr:rowOff>0</xdr:rowOff>
    </xdr:from>
    <xdr:to>
      <xdr:col>11</xdr:col>
      <xdr:colOff>523875</xdr:colOff>
      <xdr:row>796</xdr:row>
      <xdr:rowOff>152400</xdr:rowOff>
    </xdr:to>
    <xdr:pic>
      <xdr:nvPicPr>
        <xdr:cNvPr id="26" name="Grafik 25" descr="Palette.wmf"/>
        <xdr:cNvPicPr>
          <a:picLocks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143500" y="125977650"/>
          <a:ext cx="1666875" cy="25812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830</xdr:row>
      <xdr:rowOff>0</xdr:rowOff>
    </xdr:from>
    <xdr:to>
      <xdr:col>20</xdr:col>
      <xdr:colOff>95250</xdr:colOff>
      <xdr:row>837</xdr:row>
      <xdr:rowOff>57150</xdr:rowOff>
    </xdr:to>
    <xdr:pic>
      <xdr:nvPicPr>
        <xdr:cNvPr id="27" name="Grafik 26" descr="Diagrammschnitt.wmf"/>
        <xdr:cNvPicPr>
          <a:picLocks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715000" y="133911975"/>
          <a:ext cx="5810250" cy="11906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862</xdr:row>
      <xdr:rowOff>0</xdr:rowOff>
    </xdr:from>
    <xdr:to>
      <xdr:col>18</xdr:col>
      <xdr:colOff>476250</xdr:colOff>
      <xdr:row>870</xdr:row>
      <xdr:rowOff>133350</xdr:rowOff>
    </xdr:to>
    <xdr:pic>
      <xdr:nvPicPr>
        <xdr:cNvPr id="28" name="Grafik 27" descr="Kampfverlauf.wmf"/>
        <xdr:cNvPicPr>
          <a:picLocks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715000" y="139093575"/>
          <a:ext cx="5048250" cy="14287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900</xdr:row>
      <xdr:rowOff>0</xdr:rowOff>
    </xdr:from>
    <xdr:to>
      <xdr:col>20</xdr:col>
      <xdr:colOff>95250</xdr:colOff>
      <xdr:row>907</xdr:row>
      <xdr:rowOff>123825</xdr:rowOff>
    </xdr:to>
    <xdr:pic>
      <xdr:nvPicPr>
        <xdr:cNvPr id="29" name="Grafik 28" descr="getreppterKampfverlauf.wmf"/>
        <xdr:cNvPicPr>
          <a:picLocks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5715000" y="145246725"/>
          <a:ext cx="5810250" cy="12573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11</xdr:col>
      <xdr:colOff>0</xdr:colOff>
      <xdr:row>933</xdr:row>
      <xdr:rowOff>0</xdr:rowOff>
    </xdr:from>
    <xdr:to>
      <xdr:col>21</xdr:col>
      <xdr:colOff>85725</xdr:colOff>
      <xdr:row>945</xdr:row>
      <xdr:rowOff>152400</xdr:rowOff>
    </xdr:to>
    <xdr:pic>
      <xdr:nvPicPr>
        <xdr:cNvPr id="30" name="Grafik 29" descr="KämpfeMitTreppen.wmf"/>
        <xdr:cNvPicPr>
          <a:picLocks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286500" y="150590250"/>
          <a:ext cx="5810250" cy="2095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971</xdr:row>
      <xdr:rowOff>0</xdr:rowOff>
    </xdr:from>
    <xdr:to>
      <xdr:col>20</xdr:col>
      <xdr:colOff>95250</xdr:colOff>
      <xdr:row>988</xdr:row>
      <xdr:rowOff>152400</xdr:rowOff>
    </xdr:to>
    <xdr:pic>
      <xdr:nvPicPr>
        <xdr:cNvPr id="31" name="Grafik 30" descr="LebenMitÜberschaden.wmf"/>
        <xdr:cNvPicPr>
          <a:picLocks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5715000" y="156743400"/>
          <a:ext cx="5810250" cy="29051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1026</xdr:row>
      <xdr:rowOff>0</xdr:rowOff>
    </xdr:from>
    <xdr:to>
      <xdr:col>19</xdr:col>
      <xdr:colOff>333375</xdr:colOff>
      <xdr:row>1036</xdr:row>
      <xdr:rowOff>119062</xdr:rowOff>
    </xdr:to>
    <xdr:pic>
      <xdr:nvPicPr>
        <xdr:cNvPr id="32" name="Grafik 31" descr="Diagrammgroß.wmf"/>
        <xdr:cNvPicPr>
          <a:picLocks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5715000" y="165649275"/>
          <a:ext cx="5476875" cy="1738312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1082</xdr:row>
      <xdr:rowOff>0</xdr:rowOff>
    </xdr:from>
    <xdr:to>
      <xdr:col>20</xdr:col>
      <xdr:colOff>285750</xdr:colOff>
      <xdr:row>1105</xdr:row>
      <xdr:rowOff>85725</xdr:rowOff>
    </xdr:to>
    <xdr:pic>
      <xdr:nvPicPr>
        <xdr:cNvPr id="33" name="Grafik 32" descr="Kampfvergleich.wmf"/>
        <xdr:cNvPicPr>
          <a:picLocks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5715000" y="174717075"/>
          <a:ext cx="6000750" cy="38100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12</xdr:col>
      <xdr:colOff>0</xdr:colOff>
      <xdr:row>1137</xdr:row>
      <xdr:rowOff>0</xdr:rowOff>
    </xdr:from>
    <xdr:to>
      <xdr:col>21</xdr:col>
      <xdr:colOff>180975</xdr:colOff>
      <xdr:row>1147</xdr:row>
      <xdr:rowOff>95250</xdr:rowOff>
    </xdr:to>
    <xdr:pic>
      <xdr:nvPicPr>
        <xdr:cNvPr id="34" name="Grafik 33" descr="U_Trivialformel.wmf"/>
        <xdr:cNvPicPr>
          <a:picLocks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858000" y="183622950"/>
          <a:ext cx="5334000" cy="1714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9</xdr:col>
      <xdr:colOff>0</xdr:colOff>
      <xdr:row>1181</xdr:row>
      <xdr:rowOff>0</xdr:rowOff>
    </xdr:from>
    <xdr:to>
      <xdr:col>19</xdr:col>
      <xdr:colOff>0</xdr:colOff>
      <xdr:row>1190</xdr:row>
      <xdr:rowOff>114300</xdr:rowOff>
    </xdr:to>
    <xdr:pic>
      <xdr:nvPicPr>
        <xdr:cNvPr id="35" name="Grafik 34" descr="Banditenbeispiel13.wmf"/>
        <xdr:cNvPicPr>
          <a:picLocks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5143500" y="190747650"/>
          <a:ext cx="5715000" cy="15716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11</xdr:col>
      <xdr:colOff>0</xdr:colOff>
      <xdr:row>1218</xdr:row>
      <xdr:rowOff>0</xdr:rowOff>
    </xdr:from>
    <xdr:to>
      <xdr:col>17</xdr:col>
      <xdr:colOff>523875</xdr:colOff>
      <xdr:row>1234</xdr:row>
      <xdr:rowOff>76200</xdr:rowOff>
    </xdr:to>
    <xdr:pic>
      <xdr:nvPicPr>
        <xdr:cNvPr id="36" name="Grafik 35" descr="Flussdiagramm.wmf"/>
        <xdr:cNvPicPr>
          <a:picLocks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6286500" y="196738875"/>
          <a:ext cx="3952875" cy="26670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1273</xdr:row>
      <xdr:rowOff>0</xdr:rowOff>
    </xdr:from>
    <xdr:to>
      <xdr:col>15</xdr:col>
      <xdr:colOff>0</xdr:colOff>
      <xdr:row>1288</xdr:row>
      <xdr:rowOff>0</xdr:rowOff>
    </xdr:to>
    <xdr:pic>
      <xdr:nvPicPr>
        <xdr:cNvPr id="37" name="Grafik 36" descr="3Tformel1.wmf"/>
        <xdr:cNvPicPr>
          <a:picLocks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5715000" y="205644750"/>
          <a:ext cx="2857500" cy="24288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1317</xdr:row>
      <xdr:rowOff>0</xdr:rowOff>
    </xdr:from>
    <xdr:to>
      <xdr:col>15</xdr:col>
      <xdr:colOff>0</xdr:colOff>
      <xdr:row>1332</xdr:row>
      <xdr:rowOff>0</xdr:rowOff>
    </xdr:to>
    <xdr:pic>
      <xdr:nvPicPr>
        <xdr:cNvPr id="38" name="Grafik 37" descr="3Tformel1.wmf"/>
        <xdr:cNvPicPr>
          <a:picLocks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5715000" y="212769450"/>
          <a:ext cx="2857500" cy="24288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1361</xdr:row>
      <xdr:rowOff>0</xdr:rowOff>
    </xdr:from>
    <xdr:to>
      <xdr:col>19</xdr:col>
      <xdr:colOff>381000</xdr:colOff>
      <xdr:row>1369</xdr:row>
      <xdr:rowOff>69850</xdr:rowOff>
    </xdr:to>
    <xdr:pic>
      <xdr:nvPicPr>
        <xdr:cNvPr id="39" name="Grafik 38" descr="3Tformel1Zerlegung.wmf"/>
        <xdr:cNvPicPr>
          <a:picLocks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5715000" y="219894150"/>
          <a:ext cx="5524500" cy="1365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1401</xdr:row>
      <xdr:rowOff>0</xdr:rowOff>
    </xdr:from>
    <xdr:to>
      <xdr:col>19</xdr:col>
      <xdr:colOff>381000</xdr:colOff>
      <xdr:row>1418</xdr:row>
      <xdr:rowOff>9525</xdr:rowOff>
    </xdr:to>
    <xdr:pic>
      <xdr:nvPicPr>
        <xdr:cNvPr id="40" name="Grafik 39" descr="3Tformel2Zerlegung.wmf"/>
        <xdr:cNvPicPr>
          <a:picLocks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5715000" y="226371150"/>
          <a:ext cx="5524500" cy="2762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1459</xdr:row>
      <xdr:rowOff>0</xdr:rowOff>
    </xdr:from>
    <xdr:to>
      <xdr:col>20</xdr:col>
      <xdr:colOff>411479</xdr:colOff>
      <xdr:row>1470</xdr:row>
      <xdr:rowOff>47625</xdr:rowOff>
    </xdr:to>
    <xdr:pic>
      <xdr:nvPicPr>
        <xdr:cNvPr id="41" name="Grafik 40" descr="Schadensbereiche.wmf"/>
        <xdr:cNvPicPr>
          <a:picLocks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5715000" y="235762800"/>
          <a:ext cx="6126479" cy="18288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1545</xdr:row>
      <xdr:rowOff>0</xdr:rowOff>
    </xdr:from>
    <xdr:to>
      <xdr:col>20</xdr:col>
      <xdr:colOff>411479</xdr:colOff>
      <xdr:row>1556</xdr:row>
      <xdr:rowOff>70485</xdr:rowOff>
    </xdr:to>
    <xdr:pic>
      <xdr:nvPicPr>
        <xdr:cNvPr id="42" name="Grafik 41" descr="Schadensbereiche4Treffer.wmf"/>
        <xdr:cNvPicPr>
          <a:picLocks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5715000" y="249688350"/>
          <a:ext cx="6126479" cy="185166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11</xdr:col>
      <xdr:colOff>0</xdr:colOff>
      <xdr:row>1654</xdr:row>
      <xdr:rowOff>0</xdr:rowOff>
    </xdr:from>
    <xdr:to>
      <xdr:col>16</xdr:col>
      <xdr:colOff>0</xdr:colOff>
      <xdr:row>1675</xdr:row>
      <xdr:rowOff>112395</xdr:rowOff>
    </xdr:to>
    <xdr:pic>
      <xdr:nvPicPr>
        <xdr:cNvPr id="44" name="Grafik 43" descr="Bauteiltabelle.wmf"/>
        <xdr:cNvPicPr>
          <a:picLocks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6286500" y="267338175"/>
          <a:ext cx="2857500" cy="351282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1679</xdr:row>
      <xdr:rowOff>0</xdr:rowOff>
    </xdr:from>
    <xdr:to>
      <xdr:col>14</xdr:col>
      <xdr:colOff>495300</xdr:colOff>
      <xdr:row>1696</xdr:row>
      <xdr:rowOff>28575</xdr:rowOff>
    </xdr:to>
    <xdr:pic>
      <xdr:nvPicPr>
        <xdr:cNvPr id="46" name="Grafik 45" descr="Kombinationstabelle.wmf"/>
        <xdr:cNvPicPr>
          <a:picLocks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5715000" y="271386300"/>
          <a:ext cx="2781300" cy="27813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1715</xdr:row>
      <xdr:rowOff>0</xdr:rowOff>
    </xdr:from>
    <xdr:to>
      <xdr:col>19</xdr:col>
      <xdr:colOff>0</xdr:colOff>
      <xdr:row>1738</xdr:row>
      <xdr:rowOff>85725</xdr:rowOff>
    </xdr:to>
    <xdr:pic>
      <xdr:nvPicPr>
        <xdr:cNvPr id="49" name="Grafik 48" descr="KampfverlaufN2L2.wmf"/>
        <xdr:cNvPicPr>
          <a:picLocks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5715000" y="277215600"/>
          <a:ext cx="5143500" cy="38100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1808</xdr:row>
      <xdr:rowOff>0</xdr:rowOff>
    </xdr:from>
    <xdr:to>
      <xdr:col>20</xdr:col>
      <xdr:colOff>0</xdr:colOff>
      <xdr:row>1838</xdr:row>
      <xdr:rowOff>47625</xdr:rowOff>
    </xdr:to>
    <xdr:pic>
      <xdr:nvPicPr>
        <xdr:cNvPr id="50" name="Grafik 49" descr="KampfverlaufN4L2.wmf"/>
        <xdr:cNvPicPr>
          <a:picLocks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5715000" y="292274625"/>
          <a:ext cx="5715000" cy="49053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2000</xdr:row>
      <xdr:rowOff>0</xdr:rowOff>
    </xdr:from>
    <xdr:to>
      <xdr:col>19</xdr:col>
      <xdr:colOff>95250</xdr:colOff>
      <xdr:row>2010</xdr:row>
      <xdr:rowOff>47625</xdr:rowOff>
    </xdr:to>
    <xdr:pic>
      <xdr:nvPicPr>
        <xdr:cNvPr id="51" name="Grafik 50" descr="beschädigt.wmf"/>
        <xdr:cNvPicPr>
          <a:picLocks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5715000" y="323364225"/>
          <a:ext cx="5238750" cy="16668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2022</xdr:row>
      <xdr:rowOff>0</xdr:rowOff>
    </xdr:from>
    <xdr:to>
      <xdr:col>18</xdr:col>
      <xdr:colOff>428625</xdr:colOff>
      <xdr:row>2032</xdr:row>
      <xdr:rowOff>0</xdr:rowOff>
    </xdr:to>
    <xdr:pic>
      <xdr:nvPicPr>
        <xdr:cNvPr id="52" name="Grafik 51" descr="zweiheitlicherKampf.wmf"/>
        <xdr:cNvPicPr>
          <a:picLocks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5715000" y="326926575"/>
          <a:ext cx="5000625" cy="1619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17</xdr:col>
      <xdr:colOff>114300</xdr:colOff>
      <xdr:row>2037</xdr:row>
      <xdr:rowOff>66675</xdr:rowOff>
    </xdr:from>
    <xdr:to>
      <xdr:col>22</xdr:col>
      <xdr:colOff>104775</xdr:colOff>
      <xdr:row>2065</xdr:row>
      <xdr:rowOff>9525</xdr:rowOff>
    </xdr:to>
    <xdr:pic>
      <xdr:nvPicPr>
        <xdr:cNvPr id="53" name="Grafik 52" descr="Optimierungsresistenz.wmf"/>
        <xdr:cNvPicPr>
          <a:picLocks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9829800" y="329422125"/>
          <a:ext cx="2857500" cy="44767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2059</xdr:row>
      <xdr:rowOff>0</xdr:rowOff>
    </xdr:from>
    <xdr:to>
      <xdr:col>19</xdr:col>
      <xdr:colOff>333375</xdr:colOff>
      <xdr:row>2083</xdr:row>
      <xdr:rowOff>114300</xdr:rowOff>
    </xdr:to>
    <xdr:pic>
      <xdr:nvPicPr>
        <xdr:cNvPr id="54" name="Grafik 53" descr="Schlachtfeld.wmf"/>
        <xdr:cNvPicPr>
          <a:picLocks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5715000" y="332917800"/>
          <a:ext cx="5476875" cy="4000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2126</xdr:row>
      <xdr:rowOff>0</xdr:rowOff>
    </xdr:from>
    <xdr:to>
      <xdr:col>19</xdr:col>
      <xdr:colOff>476250</xdr:colOff>
      <xdr:row>2135</xdr:row>
      <xdr:rowOff>114300</xdr:rowOff>
    </xdr:to>
    <xdr:pic>
      <xdr:nvPicPr>
        <xdr:cNvPr id="55" name="Grafik 54" descr="ausgeglichenerKampf.wmf"/>
        <xdr:cNvPicPr>
          <a:picLocks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5715000" y="343766775"/>
          <a:ext cx="5619750" cy="15716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2154</xdr:row>
      <xdr:rowOff>0</xdr:rowOff>
    </xdr:from>
    <xdr:to>
      <xdr:col>19</xdr:col>
      <xdr:colOff>523875</xdr:colOff>
      <xdr:row>2167</xdr:row>
      <xdr:rowOff>133350</xdr:rowOff>
    </xdr:to>
    <xdr:pic>
      <xdr:nvPicPr>
        <xdr:cNvPr id="56" name="Grafik 55" descr="zweiheitlicherKampf.wmf"/>
        <xdr:cNvPicPr>
          <a:picLocks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5715000" y="348300675"/>
          <a:ext cx="5667375" cy="22383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2195</xdr:row>
      <xdr:rowOff>0</xdr:rowOff>
    </xdr:from>
    <xdr:to>
      <xdr:col>18</xdr:col>
      <xdr:colOff>190500</xdr:colOff>
      <xdr:row>2210</xdr:row>
      <xdr:rowOff>142875</xdr:rowOff>
    </xdr:to>
    <xdr:pic>
      <xdr:nvPicPr>
        <xdr:cNvPr id="57" name="Grafik 56" descr="dreiheitlicherKampf.wmf"/>
        <xdr:cNvPicPr>
          <a:picLocks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5715000" y="354939600"/>
          <a:ext cx="4762500" cy="25717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2248</xdr:row>
      <xdr:rowOff>0</xdr:rowOff>
    </xdr:from>
    <xdr:to>
      <xdr:col>19</xdr:col>
      <xdr:colOff>95250</xdr:colOff>
      <xdr:row>2278</xdr:row>
      <xdr:rowOff>142875</xdr:rowOff>
    </xdr:to>
    <xdr:pic>
      <xdr:nvPicPr>
        <xdr:cNvPr id="58" name="Grafik 57" descr="KampfverläufeD01.wmf"/>
        <xdr:cNvPicPr>
          <a:picLocks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5715000" y="363521625"/>
          <a:ext cx="5238750" cy="50006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2481</xdr:row>
      <xdr:rowOff>0</xdr:rowOff>
    </xdr:from>
    <xdr:to>
      <xdr:col>18</xdr:col>
      <xdr:colOff>190500</xdr:colOff>
      <xdr:row>2493</xdr:row>
      <xdr:rowOff>9525</xdr:rowOff>
    </xdr:to>
    <xdr:pic>
      <xdr:nvPicPr>
        <xdr:cNvPr id="59" name="Grafik 58" descr="langeMischformel.wmf"/>
        <xdr:cNvPicPr>
          <a:picLocks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5715000" y="401250150"/>
          <a:ext cx="4762500" cy="19526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2510</xdr:row>
      <xdr:rowOff>0</xdr:rowOff>
    </xdr:from>
    <xdr:to>
      <xdr:col>14</xdr:col>
      <xdr:colOff>476250</xdr:colOff>
      <xdr:row>2519</xdr:row>
      <xdr:rowOff>114300</xdr:rowOff>
    </xdr:to>
    <xdr:pic>
      <xdr:nvPicPr>
        <xdr:cNvPr id="62" name="Grafik 61" descr="kurzeMischformel.wmf"/>
        <xdr:cNvPicPr>
          <a:picLocks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5715000" y="405945975"/>
          <a:ext cx="2762250" cy="15716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2534</xdr:row>
      <xdr:rowOff>0</xdr:rowOff>
    </xdr:from>
    <xdr:to>
      <xdr:col>19</xdr:col>
      <xdr:colOff>333375</xdr:colOff>
      <xdr:row>2554</xdr:row>
      <xdr:rowOff>95250</xdr:rowOff>
    </xdr:to>
    <xdr:pic>
      <xdr:nvPicPr>
        <xdr:cNvPr id="63" name="Grafik 62" descr="ÜbersichtDerMischformeln.wmf"/>
        <xdr:cNvPicPr>
          <a:picLocks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5715000" y="409832175"/>
          <a:ext cx="5476875" cy="33337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2622</xdr:row>
      <xdr:rowOff>0</xdr:rowOff>
    </xdr:from>
    <xdr:to>
      <xdr:col>20</xdr:col>
      <xdr:colOff>0</xdr:colOff>
      <xdr:row>2631</xdr:row>
      <xdr:rowOff>19050</xdr:rowOff>
    </xdr:to>
    <xdr:pic>
      <xdr:nvPicPr>
        <xdr:cNvPr id="64" name="Grafik 63" descr="ÜbersichtDerDiagrammpunkte.wmf"/>
        <xdr:cNvPicPr>
          <a:picLocks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5715000" y="424081575"/>
          <a:ext cx="5715000" cy="14763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2672</xdr:row>
      <xdr:rowOff>0</xdr:rowOff>
    </xdr:from>
    <xdr:to>
      <xdr:col>20</xdr:col>
      <xdr:colOff>0</xdr:colOff>
      <xdr:row>2689</xdr:row>
      <xdr:rowOff>104775</xdr:rowOff>
    </xdr:to>
    <xdr:pic>
      <xdr:nvPicPr>
        <xdr:cNvPr id="65" name="Grafik 64" descr="dreiheitlichesBeispiel.wmf"/>
        <xdr:cNvPicPr>
          <a:picLocks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5715000" y="432177825"/>
          <a:ext cx="5715000" cy="2857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2730</xdr:row>
      <xdr:rowOff>0</xdr:rowOff>
    </xdr:from>
    <xdr:to>
      <xdr:col>18</xdr:col>
      <xdr:colOff>0</xdr:colOff>
      <xdr:row>2744</xdr:row>
      <xdr:rowOff>114300</xdr:rowOff>
    </xdr:to>
    <xdr:pic>
      <xdr:nvPicPr>
        <xdr:cNvPr id="66" name="Grafik 65" descr="HerleitungKurzeMischformel.wmf"/>
        <xdr:cNvPicPr>
          <a:picLocks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5715000" y="441569475"/>
          <a:ext cx="4572000" cy="2381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2763</xdr:row>
      <xdr:rowOff>0</xdr:rowOff>
    </xdr:from>
    <xdr:to>
      <xdr:col>18</xdr:col>
      <xdr:colOff>0</xdr:colOff>
      <xdr:row>2783</xdr:row>
      <xdr:rowOff>0</xdr:rowOff>
    </xdr:to>
    <xdr:pic>
      <xdr:nvPicPr>
        <xdr:cNvPr id="67" name="Grafik 66" descr="HerleitungKurzeMischformel2.wmf"/>
        <xdr:cNvPicPr>
          <a:picLocks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5715000" y="446913000"/>
          <a:ext cx="4572000" cy="3238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2798</xdr:row>
      <xdr:rowOff>0</xdr:rowOff>
    </xdr:from>
    <xdr:to>
      <xdr:col>18</xdr:col>
      <xdr:colOff>0</xdr:colOff>
      <xdr:row>2815</xdr:row>
      <xdr:rowOff>9525</xdr:rowOff>
    </xdr:to>
    <xdr:pic>
      <xdr:nvPicPr>
        <xdr:cNvPr id="68" name="Grafik 67" descr="HerleitungKurzeMischformel3.wmf"/>
        <xdr:cNvPicPr>
          <a:picLocks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5715000" y="452580375"/>
          <a:ext cx="4572000" cy="2762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2827</xdr:row>
      <xdr:rowOff>0</xdr:rowOff>
    </xdr:from>
    <xdr:to>
      <xdr:col>18</xdr:col>
      <xdr:colOff>0</xdr:colOff>
      <xdr:row>2845</xdr:row>
      <xdr:rowOff>133350</xdr:rowOff>
    </xdr:to>
    <xdr:pic>
      <xdr:nvPicPr>
        <xdr:cNvPr id="69" name="Grafik 68" descr="HerleitungLangeMischformel2.wmf"/>
        <xdr:cNvPicPr>
          <a:picLocks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5715000" y="457276200"/>
          <a:ext cx="4572000" cy="30480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2859</xdr:row>
      <xdr:rowOff>0</xdr:rowOff>
    </xdr:from>
    <xdr:to>
      <xdr:col>18</xdr:col>
      <xdr:colOff>0</xdr:colOff>
      <xdr:row>2877</xdr:row>
      <xdr:rowOff>133350</xdr:rowOff>
    </xdr:to>
    <xdr:pic>
      <xdr:nvPicPr>
        <xdr:cNvPr id="70" name="Grafik 69" descr="HerleitungDritteMischformel2.wmf"/>
        <xdr:cNvPicPr>
          <a:picLocks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5715000" y="462457800"/>
          <a:ext cx="4572000" cy="30480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2903</xdr:row>
      <xdr:rowOff>0</xdr:rowOff>
    </xdr:from>
    <xdr:to>
      <xdr:col>18</xdr:col>
      <xdr:colOff>0</xdr:colOff>
      <xdr:row>2920</xdr:row>
      <xdr:rowOff>9525</xdr:rowOff>
    </xdr:to>
    <xdr:pic>
      <xdr:nvPicPr>
        <xdr:cNvPr id="71" name="Grafik 70" descr="HerleitungLangeMischformel3.wmf"/>
        <xdr:cNvPicPr>
          <a:picLocks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5715000" y="469582500"/>
          <a:ext cx="4572000" cy="2762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2939</xdr:row>
      <xdr:rowOff>0</xdr:rowOff>
    </xdr:from>
    <xdr:to>
      <xdr:col>18</xdr:col>
      <xdr:colOff>190500</xdr:colOff>
      <xdr:row>2956</xdr:row>
      <xdr:rowOff>9525</xdr:rowOff>
    </xdr:to>
    <xdr:pic>
      <xdr:nvPicPr>
        <xdr:cNvPr id="72" name="Grafik 71" descr="HerleitungDritteMischformel3.wmf"/>
        <xdr:cNvPicPr>
          <a:picLocks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5715000" y="475411800"/>
          <a:ext cx="4762500" cy="2762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2978</xdr:row>
      <xdr:rowOff>0</xdr:rowOff>
    </xdr:from>
    <xdr:to>
      <xdr:col>18</xdr:col>
      <xdr:colOff>381000</xdr:colOff>
      <xdr:row>2998</xdr:row>
      <xdr:rowOff>0</xdr:rowOff>
    </xdr:to>
    <xdr:pic>
      <xdr:nvPicPr>
        <xdr:cNvPr id="73" name="Grafik 72" descr="HerleitungDritteMischformel2a.wmf"/>
        <xdr:cNvPicPr>
          <a:picLocks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5715000" y="481726875"/>
          <a:ext cx="4953000" cy="3238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3024</xdr:row>
      <xdr:rowOff>0</xdr:rowOff>
    </xdr:from>
    <xdr:to>
      <xdr:col>15</xdr:col>
      <xdr:colOff>523875</xdr:colOff>
      <xdr:row>3032</xdr:row>
      <xdr:rowOff>38100</xdr:rowOff>
    </xdr:to>
    <xdr:pic>
      <xdr:nvPicPr>
        <xdr:cNvPr id="74" name="Grafik 73" descr="dividierterKampfverlauf.wmf"/>
        <xdr:cNvPicPr>
          <a:picLocks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5715000" y="489175425"/>
          <a:ext cx="3381375" cy="1333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3052</xdr:row>
      <xdr:rowOff>0</xdr:rowOff>
    </xdr:from>
    <xdr:to>
      <xdr:col>18</xdr:col>
      <xdr:colOff>428625</xdr:colOff>
      <xdr:row>3061</xdr:row>
      <xdr:rowOff>138112</xdr:rowOff>
    </xdr:to>
    <xdr:pic>
      <xdr:nvPicPr>
        <xdr:cNvPr id="75" name="Grafik 74" descr="LebenproEinheit.wmf"/>
        <xdr:cNvPicPr>
          <a:picLocks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5715000" y="493709325"/>
          <a:ext cx="5000625" cy="1595437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3078</xdr:row>
      <xdr:rowOff>0</xdr:rowOff>
    </xdr:from>
    <xdr:to>
      <xdr:col>20</xdr:col>
      <xdr:colOff>0</xdr:colOff>
      <xdr:row>3106</xdr:row>
      <xdr:rowOff>133350</xdr:rowOff>
    </xdr:to>
    <xdr:pic>
      <xdr:nvPicPr>
        <xdr:cNvPr id="76" name="Grafik 75" descr="Mischformeln_Rzus.wmf"/>
        <xdr:cNvPicPr>
          <a:picLocks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5715000" y="497919375"/>
          <a:ext cx="5715000" cy="46672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3111</xdr:row>
      <xdr:rowOff>0</xdr:rowOff>
    </xdr:from>
    <xdr:to>
      <xdr:col>20</xdr:col>
      <xdr:colOff>0</xdr:colOff>
      <xdr:row>3135</xdr:row>
      <xdr:rowOff>114300</xdr:rowOff>
    </xdr:to>
    <xdr:pic>
      <xdr:nvPicPr>
        <xdr:cNvPr id="77" name="Grafik 76" descr="WenTöteIchZuerst.wmf"/>
        <xdr:cNvPicPr>
          <a:picLocks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5715000" y="503262900"/>
          <a:ext cx="5715000" cy="4000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3355</xdr:row>
      <xdr:rowOff>0</xdr:rowOff>
    </xdr:from>
    <xdr:to>
      <xdr:col>22</xdr:col>
      <xdr:colOff>447675</xdr:colOff>
      <xdr:row>3385</xdr:row>
      <xdr:rowOff>19050</xdr:rowOff>
    </xdr:to>
    <xdr:pic>
      <xdr:nvPicPr>
        <xdr:cNvPr id="84" name="Grafik 83" descr="WMFlogo.wmf"/>
        <xdr:cNvPicPr>
          <a:picLocks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5715000" y="542772600"/>
          <a:ext cx="7315200" cy="48768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3419</xdr:row>
      <xdr:rowOff>0</xdr:rowOff>
    </xdr:from>
    <xdr:to>
      <xdr:col>19</xdr:col>
      <xdr:colOff>333375</xdr:colOff>
      <xdr:row>3442</xdr:row>
      <xdr:rowOff>38100</xdr:rowOff>
    </xdr:to>
    <xdr:pic>
      <xdr:nvPicPr>
        <xdr:cNvPr id="85" name="Grafik 84" descr="Wikinger.wmf"/>
        <xdr:cNvPicPr>
          <a:picLocks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5715000" y="553135800"/>
          <a:ext cx="5476875" cy="37623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9</xdr:col>
      <xdr:colOff>0</xdr:colOff>
      <xdr:row>3461</xdr:row>
      <xdr:rowOff>0</xdr:rowOff>
    </xdr:from>
    <xdr:to>
      <xdr:col>18</xdr:col>
      <xdr:colOff>381000</xdr:colOff>
      <xdr:row>3469</xdr:row>
      <xdr:rowOff>38100</xdr:rowOff>
    </xdr:to>
    <xdr:pic>
      <xdr:nvPicPr>
        <xdr:cNvPr id="86" name="Grafik 85" descr="Zauber.wmf"/>
        <xdr:cNvPicPr>
          <a:picLocks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5143500" y="559936650"/>
          <a:ext cx="5524500" cy="1333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9</xdr:col>
      <xdr:colOff>0</xdr:colOff>
      <xdr:row>3803</xdr:row>
      <xdr:rowOff>0</xdr:rowOff>
    </xdr:from>
    <xdr:to>
      <xdr:col>18</xdr:col>
      <xdr:colOff>381000</xdr:colOff>
      <xdr:row>3827</xdr:row>
      <xdr:rowOff>114300</xdr:rowOff>
    </xdr:to>
    <xdr:pic>
      <xdr:nvPicPr>
        <xdr:cNvPr id="87" name="Grafik 86" descr="ZauberZweiheitlicheBeschwörung.wmf"/>
        <xdr:cNvPicPr>
          <a:picLocks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5143500" y="615315000"/>
          <a:ext cx="5524500" cy="4000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3863</xdr:row>
      <xdr:rowOff>0</xdr:rowOff>
    </xdr:from>
    <xdr:to>
      <xdr:col>19</xdr:col>
      <xdr:colOff>381000</xdr:colOff>
      <xdr:row>3871</xdr:row>
      <xdr:rowOff>38100</xdr:rowOff>
    </xdr:to>
    <xdr:pic>
      <xdr:nvPicPr>
        <xdr:cNvPr id="88" name="Grafik 87" descr="ZauberBewegungstempo.wmf"/>
        <xdr:cNvPicPr>
          <a:picLocks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5715000" y="625030500"/>
          <a:ext cx="5524500" cy="1333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3888</xdr:row>
      <xdr:rowOff>0</xdr:rowOff>
    </xdr:from>
    <xdr:to>
      <xdr:col>20</xdr:col>
      <xdr:colOff>190500</xdr:colOff>
      <xdr:row>3899</xdr:row>
      <xdr:rowOff>123825</xdr:rowOff>
    </xdr:to>
    <xdr:pic>
      <xdr:nvPicPr>
        <xdr:cNvPr id="89" name="Grafik 88" descr="Tetraeder1.wmf"/>
        <xdr:cNvPicPr>
          <a:picLocks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5715000" y="629078625"/>
          <a:ext cx="5905500" cy="19050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8</xdr:col>
      <xdr:colOff>0</xdr:colOff>
      <xdr:row>4006</xdr:row>
      <xdr:rowOff>0</xdr:rowOff>
    </xdr:from>
    <xdr:to>
      <xdr:col>18</xdr:col>
      <xdr:colOff>190500</xdr:colOff>
      <xdr:row>4014</xdr:row>
      <xdr:rowOff>101600</xdr:rowOff>
    </xdr:to>
    <xdr:pic>
      <xdr:nvPicPr>
        <xdr:cNvPr id="90" name="Grafik 89" descr="TetraederZerlegung.wmf"/>
        <xdr:cNvPicPr>
          <a:picLocks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4572000" y="648185775"/>
          <a:ext cx="5905500" cy="13970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4077</xdr:row>
      <xdr:rowOff>0</xdr:rowOff>
    </xdr:from>
    <xdr:to>
      <xdr:col>18</xdr:col>
      <xdr:colOff>428625</xdr:colOff>
      <xdr:row>4085</xdr:row>
      <xdr:rowOff>133350</xdr:rowOff>
    </xdr:to>
    <xdr:pic>
      <xdr:nvPicPr>
        <xdr:cNvPr id="91" name="Grafik 90" descr="Bauteiloptimierung.wmf"/>
        <xdr:cNvPicPr>
          <a:picLocks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5715000" y="659682450"/>
          <a:ext cx="5000625" cy="14287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8</xdr:col>
      <xdr:colOff>0</xdr:colOff>
      <xdr:row>4090</xdr:row>
      <xdr:rowOff>0</xdr:rowOff>
    </xdr:from>
    <xdr:to>
      <xdr:col>14</xdr:col>
      <xdr:colOff>190500</xdr:colOff>
      <xdr:row>4107</xdr:row>
      <xdr:rowOff>57150</xdr:rowOff>
    </xdr:to>
    <xdr:pic>
      <xdr:nvPicPr>
        <xdr:cNvPr id="92" name="Grafik 91" descr="TetraederStutzen.wmf"/>
        <xdr:cNvPicPr>
          <a:picLocks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4572000" y="661787475"/>
          <a:ext cx="3619500" cy="28098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9</xdr:col>
      <xdr:colOff>0</xdr:colOff>
      <xdr:row>4152</xdr:row>
      <xdr:rowOff>0</xdr:rowOff>
    </xdr:from>
    <xdr:to>
      <xdr:col>18</xdr:col>
      <xdr:colOff>95250</xdr:colOff>
      <xdr:row>4163</xdr:row>
      <xdr:rowOff>28575</xdr:rowOff>
    </xdr:to>
    <xdr:pic>
      <xdr:nvPicPr>
        <xdr:cNvPr id="93" name="Grafik 92" descr="elliptisch.wmf"/>
        <xdr:cNvPicPr>
          <a:picLocks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5143500" y="671826825"/>
          <a:ext cx="5238750" cy="180975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7</xdr:col>
      <xdr:colOff>0</xdr:colOff>
      <xdr:row>4334</xdr:row>
      <xdr:rowOff>0</xdr:rowOff>
    </xdr:from>
    <xdr:to>
      <xdr:col>16</xdr:col>
      <xdr:colOff>523875</xdr:colOff>
      <xdr:row>4344</xdr:row>
      <xdr:rowOff>95250</xdr:rowOff>
    </xdr:to>
    <xdr:pic>
      <xdr:nvPicPr>
        <xdr:cNvPr id="96" name="Grafik 95" descr="beschädigteFlotten.wmf"/>
        <xdr:cNvPicPr>
          <a:picLocks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4000500" y="701297175"/>
          <a:ext cx="5667375" cy="1714500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7</xdr:col>
      <xdr:colOff>0</xdr:colOff>
      <xdr:row>4400</xdr:row>
      <xdr:rowOff>0</xdr:rowOff>
    </xdr:from>
    <xdr:to>
      <xdr:col>16</xdr:col>
      <xdr:colOff>333375</xdr:colOff>
      <xdr:row>4422</xdr:row>
      <xdr:rowOff>104775</xdr:rowOff>
    </xdr:to>
    <xdr:pic>
      <xdr:nvPicPr>
        <xdr:cNvPr id="97" name="Grafik 96" descr="beschädigteFlotten2.wmf"/>
        <xdr:cNvPicPr>
          <a:picLocks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4000500" y="711984225"/>
          <a:ext cx="5476875" cy="366712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9</xdr:col>
      <xdr:colOff>0</xdr:colOff>
      <xdr:row>4456</xdr:row>
      <xdr:rowOff>0</xdr:rowOff>
    </xdr:from>
    <xdr:to>
      <xdr:col>19</xdr:col>
      <xdr:colOff>95250</xdr:colOff>
      <xdr:row>4478</xdr:row>
      <xdr:rowOff>9525</xdr:rowOff>
    </xdr:to>
    <xdr:pic>
      <xdr:nvPicPr>
        <xdr:cNvPr id="98" name="Grafik 97" descr="beschädigteFlottenR.wmf"/>
        <xdr:cNvPicPr>
          <a:picLocks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5143500" y="721052025"/>
          <a:ext cx="5810250" cy="3571875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9</xdr:col>
      <xdr:colOff>0</xdr:colOff>
      <xdr:row>4649</xdr:row>
      <xdr:rowOff>0</xdr:rowOff>
    </xdr:from>
    <xdr:to>
      <xdr:col>13</xdr:col>
      <xdr:colOff>125015</xdr:colOff>
      <xdr:row>4655</xdr:row>
      <xdr:rowOff>100012</xdr:rowOff>
    </xdr:to>
    <xdr:pic>
      <xdr:nvPicPr>
        <xdr:cNvPr id="99" name="Grafik 98" descr="WMFbeispiel.wmf"/>
        <xdr:cNvPicPr>
          <a:picLocks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5143500" y="752303550"/>
          <a:ext cx="2411015" cy="1071562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  <xdr:twoCellAnchor editAs="oneCell">
    <xdr:from>
      <xdr:col>10</xdr:col>
      <xdr:colOff>0</xdr:colOff>
      <xdr:row>4672</xdr:row>
      <xdr:rowOff>0</xdr:rowOff>
    </xdr:from>
    <xdr:to>
      <xdr:col>18</xdr:col>
      <xdr:colOff>0</xdr:colOff>
      <xdr:row>4678</xdr:row>
      <xdr:rowOff>14287</xdr:rowOff>
    </xdr:to>
    <xdr:pic>
      <xdr:nvPicPr>
        <xdr:cNvPr id="100" name="Grafik 99" descr="Prüfen.wmf"/>
        <xdr:cNvPicPr>
          <a:picLocks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5715000" y="756027825"/>
          <a:ext cx="4572000" cy="985837"/>
        </a:xfrm>
        <a:prstGeom prst="rect">
          <a:avLst/>
        </a:prstGeom>
        <a:pattFill>
          <a:fgClr>
            <a:srgbClr val="FFFFFF"/>
          </a:fgClr>
          <a:bgClr>
            <a:srgbClr val="FFFFFF"/>
          </a:bgClr>
        </a:pattFill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4"/>
  <dimension ref="A2:DD4692"/>
  <sheetViews>
    <sheetView tabSelected="1" workbookViewId="0">
      <selection activeCell="C19" sqref="C19"/>
    </sheetView>
  </sheetViews>
  <sheetFormatPr baseColWidth="10" defaultColWidth="8.5703125" defaultRowHeight="12.75"/>
  <cols>
    <col min="2" max="2" width="8.5703125" customWidth="1"/>
    <col min="6" max="15" width="8.5703125" style="6"/>
    <col min="21" max="21" width="8.7109375" bestFit="1" customWidth="1"/>
  </cols>
  <sheetData>
    <row r="2" spans="1:27">
      <c r="D2" s="48" t="s">
        <v>766</v>
      </c>
      <c r="E2" s="48" t="s">
        <v>113</v>
      </c>
      <c r="F2" s="49" t="s">
        <v>20</v>
      </c>
      <c r="G2" s="49" t="s">
        <v>746</v>
      </c>
      <c r="H2" s="50" t="s">
        <v>747</v>
      </c>
      <c r="I2" s="50" t="s">
        <v>748</v>
      </c>
      <c r="J2" s="49" t="s">
        <v>749</v>
      </c>
      <c r="K2" s="7" t="s">
        <v>750</v>
      </c>
      <c r="L2" s="7" t="s">
        <v>756</v>
      </c>
      <c r="M2" s="57">
        <v>5</v>
      </c>
      <c r="N2" s="55" t="s">
        <v>379</v>
      </c>
      <c r="O2" s="55" t="s">
        <v>115</v>
      </c>
      <c r="P2" s="56">
        <f>COUNT(Q2:CA2)</f>
        <v>11</v>
      </c>
      <c r="Q2" s="49">
        <v>0</v>
      </c>
      <c r="R2" s="49">
        <f t="shared" ref="R2:AA2" si="0">Q2+$T$52</f>
        <v>0.1</v>
      </c>
      <c r="S2" s="49">
        <f t="shared" si="0"/>
        <v>0.2</v>
      </c>
      <c r="T2" s="49">
        <f t="shared" si="0"/>
        <v>0.30000000000000004</v>
      </c>
      <c r="U2" s="49">
        <f t="shared" si="0"/>
        <v>0.4</v>
      </c>
      <c r="V2" s="49">
        <f t="shared" si="0"/>
        <v>0.5</v>
      </c>
      <c r="W2" s="49">
        <f t="shared" si="0"/>
        <v>0.6</v>
      </c>
      <c r="X2" s="49">
        <f t="shared" si="0"/>
        <v>0.7</v>
      </c>
      <c r="Y2" s="49">
        <f t="shared" si="0"/>
        <v>0.79999999999999993</v>
      </c>
      <c r="Z2" s="49">
        <f t="shared" si="0"/>
        <v>0.89999999999999991</v>
      </c>
      <c r="AA2" s="49">
        <f t="shared" si="0"/>
        <v>0.99999999999999989</v>
      </c>
    </row>
    <row r="3" spans="1:27">
      <c r="E3" s="48"/>
      <c r="N3" s="58" t="s">
        <v>377</v>
      </c>
      <c r="O3" s="58" t="s">
        <v>378</v>
      </c>
      <c r="P3" s="48"/>
      <c r="Q3" s="49">
        <f>SQRT(Q2)</f>
        <v>0</v>
      </c>
      <c r="R3" s="49">
        <f>SQRT(R2)</f>
        <v>0.31622776601683794</v>
      </c>
      <c r="S3" s="49">
        <f t="shared" ref="S3:AA3" si="1">SQRT(S2)</f>
        <v>0.44721359549995793</v>
      </c>
      <c r="T3" s="49">
        <f t="shared" si="1"/>
        <v>0.54772255750516619</v>
      </c>
      <c r="U3" s="49">
        <f t="shared" si="1"/>
        <v>0.63245553203367588</v>
      </c>
      <c r="V3" s="49">
        <f t="shared" si="1"/>
        <v>0.70710678118654757</v>
      </c>
      <c r="W3" s="49">
        <f t="shared" si="1"/>
        <v>0.7745966692414834</v>
      </c>
      <c r="X3" s="49">
        <f t="shared" si="1"/>
        <v>0.83666002653407556</v>
      </c>
      <c r="Y3" s="49">
        <f t="shared" si="1"/>
        <v>0.89442719099991586</v>
      </c>
      <c r="Z3" s="49">
        <f t="shared" si="1"/>
        <v>0.94868329805051377</v>
      </c>
      <c r="AA3" s="49">
        <f t="shared" si="1"/>
        <v>1</v>
      </c>
    </row>
    <row r="4" spans="1:27">
      <c r="D4" s="49" t="s">
        <v>767</v>
      </c>
      <c r="E4" s="49" t="s">
        <v>113</v>
      </c>
      <c r="F4" s="49" t="s">
        <v>20</v>
      </c>
      <c r="G4" s="49" t="s">
        <v>746</v>
      </c>
      <c r="H4" s="50" t="s">
        <v>747</v>
      </c>
      <c r="I4" s="50" t="s">
        <v>748</v>
      </c>
      <c r="J4" s="49" t="s">
        <v>749</v>
      </c>
      <c r="K4" s="7" t="s">
        <v>750</v>
      </c>
      <c r="L4" s="55" t="s">
        <v>379</v>
      </c>
      <c r="M4" s="49" t="s">
        <v>751</v>
      </c>
      <c r="N4" s="56">
        <f>COUNT(S4:CV4)</f>
        <v>0</v>
      </c>
      <c r="O4" s="49" t="s">
        <v>752</v>
      </c>
      <c r="P4" s="49" t="s">
        <v>753</v>
      </c>
      <c r="Q4" s="49" t="s">
        <v>754</v>
      </c>
      <c r="R4" s="58" t="s">
        <v>755</v>
      </c>
      <c r="S4" s="49" t="s">
        <v>116</v>
      </c>
      <c r="T4" s="49" t="s">
        <v>116</v>
      </c>
      <c r="U4" s="49" t="s">
        <v>116</v>
      </c>
      <c r="V4" s="49" t="s">
        <v>116</v>
      </c>
    </row>
    <row r="5" spans="1:27">
      <c r="D5" s="49"/>
      <c r="E5" s="49"/>
      <c r="F5" s="49"/>
      <c r="G5" s="49"/>
      <c r="H5" s="49"/>
      <c r="I5" s="49"/>
      <c r="J5" s="49"/>
      <c r="K5" s="7" t="s">
        <v>756</v>
      </c>
      <c r="L5" s="55" t="s">
        <v>115</v>
      </c>
      <c r="M5" s="49" t="s">
        <v>757</v>
      </c>
      <c r="N5" s="49" t="s">
        <v>758</v>
      </c>
      <c r="O5" s="49" t="s">
        <v>759</v>
      </c>
      <c r="P5" s="49" t="s">
        <v>14</v>
      </c>
      <c r="Q5" s="57" t="s">
        <v>10</v>
      </c>
      <c r="R5" s="58" t="s">
        <v>760</v>
      </c>
      <c r="S5" s="49" t="s">
        <v>761</v>
      </c>
      <c r="T5" s="49" t="s">
        <v>761</v>
      </c>
      <c r="U5" s="49" t="s">
        <v>761</v>
      </c>
      <c r="V5" s="49" t="s">
        <v>761</v>
      </c>
    </row>
    <row r="6" spans="1:27">
      <c r="D6" s="48"/>
      <c r="E6" s="49"/>
      <c r="F6" s="49"/>
      <c r="G6" s="49"/>
      <c r="H6" s="50"/>
      <c r="I6" s="50"/>
      <c r="J6" s="49"/>
      <c r="K6" s="49"/>
      <c r="L6" s="50"/>
      <c r="M6" s="49"/>
      <c r="N6" s="49"/>
      <c r="O6" s="49" t="s">
        <v>762</v>
      </c>
      <c r="P6" s="49" t="s">
        <v>14</v>
      </c>
      <c r="Q6" s="49" t="s">
        <v>10</v>
      </c>
      <c r="R6" s="49" t="s">
        <v>760</v>
      </c>
      <c r="S6" s="49" t="s">
        <v>763</v>
      </c>
      <c r="T6" s="49" t="s">
        <v>763</v>
      </c>
      <c r="U6" s="49" t="s">
        <v>763</v>
      </c>
      <c r="V6" s="49" t="s">
        <v>763</v>
      </c>
    </row>
    <row r="7" spans="1:27">
      <c r="D7" s="48"/>
      <c r="E7" s="49"/>
      <c r="F7" s="49"/>
      <c r="G7" s="49"/>
      <c r="H7" s="50"/>
      <c r="I7" s="50"/>
      <c r="J7" s="49"/>
      <c r="K7" s="49"/>
      <c r="L7" s="50"/>
      <c r="M7" s="49"/>
      <c r="N7" s="49"/>
      <c r="O7" s="49" t="s">
        <v>764</v>
      </c>
      <c r="P7" s="49" t="s">
        <v>14</v>
      </c>
      <c r="Q7" s="49" t="s">
        <v>10</v>
      </c>
      <c r="R7" s="49" t="s">
        <v>760</v>
      </c>
      <c r="S7" s="49" t="s">
        <v>765</v>
      </c>
      <c r="T7" s="49" t="s">
        <v>765</v>
      </c>
      <c r="U7" s="49" t="s">
        <v>765</v>
      </c>
      <c r="V7" s="49" t="s">
        <v>765</v>
      </c>
    </row>
    <row r="9" spans="1:27">
      <c r="A9" s="48" t="s">
        <v>815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27">
      <c r="B10" s="48" t="s">
        <v>825</v>
      </c>
      <c r="E10" s="23"/>
      <c r="F10" s="23"/>
      <c r="G10" s="49"/>
      <c r="H10" s="49"/>
      <c r="I10" s="49"/>
      <c r="J10" s="49"/>
      <c r="K10" s="49"/>
      <c r="L10" s="49"/>
      <c r="M10" s="49"/>
      <c r="P10" s="49"/>
      <c r="Q10" s="49"/>
      <c r="R10" s="49"/>
    </row>
    <row r="11" spans="1:27">
      <c r="A11" s="48" t="s">
        <v>817</v>
      </c>
    </row>
    <row r="12" spans="1:27">
      <c r="B12" s="48" t="s">
        <v>820</v>
      </c>
    </row>
    <row r="13" spans="1:27">
      <c r="B13" s="48" t="s">
        <v>824</v>
      </c>
    </row>
    <row r="14" spans="1:27">
      <c r="A14" s="48" t="s">
        <v>816</v>
      </c>
    </row>
    <row r="15" spans="1:27">
      <c r="B15" s="48" t="s">
        <v>821</v>
      </c>
    </row>
    <row r="16" spans="1:27">
      <c r="B16" s="48" t="s">
        <v>818</v>
      </c>
    </row>
    <row r="17" spans="1:29">
      <c r="A17" s="48" t="s">
        <v>814</v>
      </c>
    </row>
    <row r="18" spans="1:29">
      <c r="B18" s="48" t="s">
        <v>822</v>
      </c>
    </row>
    <row r="19" spans="1:29">
      <c r="A19" s="48" t="s">
        <v>819</v>
      </c>
    </row>
    <row r="20" spans="1:29">
      <c r="B20" s="48" t="s">
        <v>823</v>
      </c>
    </row>
    <row r="21" spans="1:29" s="48" customFormat="1">
      <c r="A21" s="48" t="s">
        <v>826</v>
      </c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29" s="48" customFormat="1">
      <c r="B22" s="48" t="s">
        <v>827</v>
      </c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29" s="48" customFormat="1"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29">
      <c r="E25" s="6"/>
    </row>
    <row r="28" spans="1:29">
      <c r="A28" s="48" t="s">
        <v>383</v>
      </c>
      <c r="B28" t="s">
        <v>23</v>
      </c>
      <c r="D28" s="48" t="s">
        <v>449</v>
      </c>
      <c r="E28" s="48">
        <v>52695</v>
      </c>
      <c r="F28" s="6">
        <v>39622</v>
      </c>
      <c r="G28" s="6">
        <v>0</v>
      </c>
      <c r="H28" s="6">
        <v>0</v>
      </c>
      <c r="I28" s="6">
        <v>0</v>
      </c>
      <c r="J28" s="6">
        <v>740</v>
      </c>
      <c r="K28" s="6">
        <v>550</v>
      </c>
      <c r="L28" s="6">
        <v>192</v>
      </c>
      <c r="M28" s="6">
        <v>0</v>
      </c>
      <c r="N28" s="6">
        <v>0</v>
      </c>
      <c r="O28" s="6" t="e">
        <f ca="1">checksummeint(G28,H28,I28,J28,K28,L28,M28,N28)</f>
        <v>#NAME?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</row>
    <row r="29" spans="1:29">
      <c r="B29" t="s">
        <v>117</v>
      </c>
      <c r="D29" s="48">
        <v>28</v>
      </c>
      <c r="E29" s="48" t="s">
        <v>12</v>
      </c>
      <c r="F29" s="6">
        <v>36</v>
      </c>
      <c r="G29" s="6">
        <v>0</v>
      </c>
      <c r="H29" s="6">
        <v>0</v>
      </c>
      <c r="I29" s="6">
        <v>0</v>
      </c>
      <c r="J29" s="6">
        <v>400</v>
      </c>
      <c r="K29" s="6">
        <v>0</v>
      </c>
      <c r="L29" s="6">
        <v>0</v>
      </c>
      <c r="M29" s="6">
        <v>0</v>
      </c>
      <c r="N29" s="6">
        <v>0</v>
      </c>
      <c r="O29" s="6" t="s">
        <v>19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</row>
    <row r="30" spans="1:29">
      <c r="A30" s="5" t="s">
        <v>812</v>
      </c>
      <c r="D30" s="48">
        <v>8</v>
      </c>
      <c r="E30" s="48" t="s">
        <v>14</v>
      </c>
      <c r="F30" s="6">
        <v>0</v>
      </c>
      <c r="G30" s="6">
        <v>2</v>
      </c>
      <c r="H30" s="6">
        <v>0</v>
      </c>
      <c r="I30" s="6">
        <v>0</v>
      </c>
      <c r="J30" s="6">
        <v>0</v>
      </c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</row>
    <row r="31" spans="1:29">
      <c r="D31" s="48">
        <v>7</v>
      </c>
      <c r="E31" s="48" t="s">
        <v>11</v>
      </c>
      <c r="F31" s="6">
        <v>0</v>
      </c>
      <c r="G31" s="6">
        <v>0</v>
      </c>
      <c r="H31" s="6">
        <v>0</v>
      </c>
      <c r="I31" s="6">
        <v>0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</row>
    <row r="32" spans="1:29">
      <c r="D32" s="48">
        <v>4</v>
      </c>
      <c r="E32" s="48" t="s">
        <v>15</v>
      </c>
      <c r="F32" s="6">
        <v>0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2:29">
      <c r="D33" s="48">
        <v>4</v>
      </c>
      <c r="E33" s="48" t="s">
        <v>15</v>
      </c>
      <c r="F33" s="6">
        <v>1</v>
      </c>
      <c r="G33" s="50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</row>
    <row r="34" spans="2:29">
      <c r="D34" s="48">
        <v>4</v>
      </c>
      <c r="E34" s="48" t="s">
        <v>15</v>
      </c>
      <c r="F34" s="6">
        <v>2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2:29">
      <c r="D35" s="48">
        <v>18</v>
      </c>
      <c r="E35" s="48" t="s">
        <v>111</v>
      </c>
      <c r="F35" s="6">
        <v>20</v>
      </c>
      <c r="G35" s="6">
        <v>60</v>
      </c>
      <c r="H35" s="6">
        <v>200</v>
      </c>
      <c r="I35" s="6">
        <v>680</v>
      </c>
      <c r="J35" s="6">
        <v>200</v>
      </c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</row>
    <row r="36" spans="2:29">
      <c r="D36" s="48">
        <v>18</v>
      </c>
      <c r="E36" s="48" t="s">
        <v>111</v>
      </c>
      <c r="F36" s="6">
        <v>20</v>
      </c>
      <c r="G36" s="6">
        <v>70</v>
      </c>
      <c r="H36" s="6">
        <v>210</v>
      </c>
      <c r="I36" s="6">
        <v>70</v>
      </c>
      <c r="J36" s="6">
        <v>10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</row>
    <row r="37" spans="2:29">
      <c r="D37" s="48">
        <f>ROUNDUP(6+F37/2,0)</f>
        <v>7</v>
      </c>
      <c r="E37" s="48" t="s">
        <v>6</v>
      </c>
      <c r="F37" s="6">
        <f>LEN(G37)</f>
        <v>1</v>
      </c>
      <c r="G37" s="6" t="s">
        <v>21</v>
      </c>
      <c r="H37" s="6">
        <v>10</v>
      </c>
      <c r="I37" s="6">
        <v>85</v>
      </c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</row>
    <row r="38" spans="2:29">
      <c r="D38" s="48">
        <f>ROUNDUP(6+F38/2,0)</f>
        <v>7</v>
      </c>
      <c r="E38" s="48" t="s">
        <v>6</v>
      </c>
      <c r="F38" s="6">
        <f>LEN(G38)</f>
        <v>1</v>
      </c>
      <c r="G38" s="6" t="s">
        <v>22</v>
      </c>
      <c r="H38" s="6">
        <v>180</v>
      </c>
      <c r="I38" s="6">
        <v>685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</row>
    <row r="39" spans="2:29">
      <c r="D39" s="48">
        <v>8</v>
      </c>
      <c r="E39" s="48" t="s">
        <v>14</v>
      </c>
      <c r="F39" s="6">
        <v>0</v>
      </c>
      <c r="G39" s="6">
        <v>1</v>
      </c>
      <c r="H39" s="6">
        <v>0</v>
      </c>
      <c r="I39" s="6">
        <v>0</v>
      </c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</row>
    <row r="40" spans="2:29">
      <c r="D40" s="48">
        <v>4</v>
      </c>
      <c r="E40" s="48" t="s">
        <v>15</v>
      </c>
      <c r="F40" s="6">
        <v>3</v>
      </c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</row>
    <row r="41" spans="2:29">
      <c r="D41" s="48">
        <v>7</v>
      </c>
      <c r="E41" s="48" t="s">
        <v>11</v>
      </c>
      <c r="F41" s="6">
        <v>0</v>
      </c>
      <c r="G41" s="6">
        <f>255*256+192</f>
        <v>65472</v>
      </c>
      <c r="H41" s="6">
        <v>192</v>
      </c>
      <c r="I41" s="6">
        <v>0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</row>
    <row r="42" spans="2:29">
      <c r="D42" s="48">
        <v>4</v>
      </c>
      <c r="E42" s="48" t="s">
        <v>15</v>
      </c>
      <c r="F42" s="6">
        <v>4</v>
      </c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</row>
    <row r="43" spans="2:29">
      <c r="B43" t="s">
        <v>23</v>
      </c>
      <c r="D43" s="48">
        <v>12</v>
      </c>
      <c r="E43" s="48" t="s">
        <v>4</v>
      </c>
      <c r="F43" s="6">
        <v>4</v>
      </c>
      <c r="G43" s="6">
        <v>70</v>
      </c>
      <c r="H43" s="6">
        <v>200</v>
      </c>
      <c r="I43" s="6">
        <v>298</v>
      </c>
      <c r="J43" s="6">
        <v>50</v>
      </c>
      <c r="K43" s="6">
        <v>640</v>
      </c>
      <c r="L43" s="6">
        <v>50</v>
      </c>
      <c r="M43" s="6">
        <f>K43</f>
        <v>640</v>
      </c>
      <c r="N43" s="6">
        <f>H43</f>
        <v>200</v>
      </c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</row>
    <row r="44" spans="2:29">
      <c r="D44" s="48">
        <v>4</v>
      </c>
      <c r="E44" s="48" t="s">
        <v>15</v>
      </c>
      <c r="F44" s="6">
        <v>2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</row>
    <row r="45" spans="2:29">
      <c r="D45" s="48">
        <f>ROUNDUP(6+F45/2,0)</f>
        <v>7</v>
      </c>
      <c r="E45" s="48" t="s">
        <v>6</v>
      </c>
      <c r="F45" s="6">
        <f>LEN(G45)</f>
        <v>2</v>
      </c>
      <c r="G45" s="6" t="s">
        <v>24</v>
      </c>
      <c r="H45" s="6">
        <f>H46-36</f>
        <v>204</v>
      </c>
      <c r="I45" s="6">
        <f>(I46+G46)/2-16</f>
        <v>339</v>
      </c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</row>
    <row r="46" spans="2:29">
      <c r="D46" s="48">
        <v>64</v>
      </c>
      <c r="E46" s="48" t="s">
        <v>114</v>
      </c>
      <c r="F46" s="6">
        <v>20</v>
      </c>
      <c r="G46" s="50">
        <v>70</v>
      </c>
      <c r="H46" s="50">
        <v>240</v>
      </c>
      <c r="I46" s="50">
        <v>640</v>
      </c>
      <c r="J46" s="50">
        <v>240</v>
      </c>
      <c r="K46" s="50">
        <v>298</v>
      </c>
      <c r="L46" s="50">
        <v>240</v>
      </c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</row>
    <row r="47" spans="2:29">
      <c r="D47" s="48">
        <v>28</v>
      </c>
      <c r="E47" s="48" t="s">
        <v>12</v>
      </c>
      <c r="F47" s="6">
        <v>36</v>
      </c>
      <c r="G47" s="6">
        <v>0</v>
      </c>
      <c r="H47" s="6">
        <v>900</v>
      </c>
      <c r="I47" s="6">
        <v>0</v>
      </c>
      <c r="J47" s="6">
        <v>400</v>
      </c>
      <c r="K47" s="6">
        <v>0</v>
      </c>
      <c r="L47" s="6">
        <v>0</v>
      </c>
      <c r="M47" s="6">
        <v>0</v>
      </c>
      <c r="N47" s="6">
        <v>0</v>
      </c>
      <c r="O47" s="6" t="s">
        <v>19</v>
      </c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</row>
    <row r="48" spans="2:29">
      <c r="D48" s="48">
        <v>4</v>
      </c>
      <c r="E48" s="48" t="s">
        <v>15</v>
      </c>
      <c r="F48" s="6">
        <v>5</v>
      </c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</row>
    <row r="49" spans="1:32">
      <c r="D49" s="48">
        <f>ROUNDUP(6+F49/2,0)</f>
        <v>7</v>
      </c>
      <c r="E49" s="48" t="s">
        <v>6</v>
      </c>
      <c r="F49" s="6">
        <f>LEN(G49)</f>
        <v>2</v>
      </c>
      <c r="G49" s="6" t="s">
        <v>25</v>
      </c>
      <c r="H49" s="6">
        <f>(J50+H50)/2+16</f>
        <v>141</v>
      </c>
      <c r="I49" s="6">
        <f>G50-36</f>
        <v>-6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</row>
    <row r="50" spans="1:32">
      <c r="D50" s="48">
        <v>44</v>
      </c>
      <c r="E50" s="48" t="s">
        <v>112</v>
      </c>
      <c r="F50" s="6">
        <v>20</v>
      </c>
      <c r="G50" s="50">
        <v>30</v>
      </c>
      <c r="H50" s="50">
        <v>200</v>
      </c>
      <c r="I50" s="50">
        <v>30</v>
      </c>
      <c r="J50" s="50">
        <v>50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</row>
    <row r="51" spans="1:32">
      <c r="D51" s="48">
        <v>4</v>
      </c>
      <c r="E51" s="48" t="s">
        <v>15</v>
      </c>
      <c r="F51" s="6">
        <v>0</v>
      </c>
      <c r="G51" s="50"/>
      <c r="H51" s="50"/>
      <c r="I51" s="50"/>
      <c r="J51" s="50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</row>
    <row r="52" spans="1:32">
      <c r="D52" s="48"/>
      <c r="E52" s="48" t="s">
        <v>113</v>
      </c>
      <c r="F52" s="6">
        <v>20</v>
      </c>
      <c r="G52" s="50">
        <v>70</v>
      </c>
      <c r="H52" s="50">
        <v>500</v>
      </c>
      <c r="I52" s="50">
        <v>640</v>
      </c>
      <c r="J52" s="50">
        <v>350</v>
      </c>
      <c r="K52" s="50" t="s">
        <v>22</v>
      </c>
      <c r="L52" s="50">
        <v>4</v>
      </c>
      <c r="M52" s="50">
        <v>0</v>
      </c>
      <c r="N52" s="49">
        <f>COUNT(S52:CD52)</f>
        <v>11</v>
      </c>
      <c r="O52" s="6">
        <v>0</v>
      </c>
      <c r="P52" s="48">
        <v>1</v>
      </c>
      <c r="Q52" s="48">
        <v>2</v>
      </c>
      <c r="R52" s="48">
        <v>0</v>
      </c>
      <c r="S52" s="49">
        <v>0</v>
      </c>
      <c r="T52" s="49">
        <f>S52+0.1</f>
        <v>0.1</v>
      </c>
      <c r="U52" s="49">
        <f t="shared" ref="U52:AC52" si="2">T52+0.1</f>
        <v>0.2</v>
      </c>
      <c r="V52" s="49">
        <f t="shared" si="2"/>
        <v>0.30000000000000004</v>
      </c>
      <c r="W52" s="49">
        <f t="shared" si="2"/>
        <v>0.4</v>
      </c>
      <c r="X52" s="49">
        <f t="shared" si="2"/>
        <v>0.5</v>
      </c>
      <c r="Y52" s="49">
        <f t="shared" si="2"/>
        <v>0.6</v>
      </c>
      <c r="Z52" s="49">
        <f t="shared" si="2"/>
        <v>0.7</v>
      </c>
      <c r="AA52" s="49">
        <f t="shared" si="2"/>
        <v>0.79999999999999993</v>
      </c>
      <c r="AB52" s="49">
        <f t="shared" si="2"/>
        <v>0.89999999999999991</v>
      </c>
      <c r="AC52" s="49">
        <f t="shared" si="2"/>
        <v>0.99999999999999989</v>
      </c>
    </row>
    <row r="53" spans="1:32">
      <c r="D53" s="48"/>
      <c r="E53" s="48"/>
      <c r="K53" s="50" t="s">
        <v>21</v>
      </c>
      <c r="L53" s="50">
        <v>5</v>
      </c>
      <c r="M53" s="6">
        <v>0</v>
      </c>
      <c r="N53" s="6">
        <v>0</v>
      </c>
      <c r="O53" s="6">
        <v>0</v>
      </c>
      <c r="P53" s="6">
        <v>0</v>
      </c>
      <c r="Q53" s="48">
        <v>4</v>
      </c>
      <c r="R53" s="48">
        <v>0</v>
      </c>
      <c r="S53" s="49">
        <f>SQRT(S52)</f>
        <v>0</v>
      </c>
      <c r="T53" s="49">
        <f>SQRT(T52)</f>
        <v>0.31622776601683794</v>
      </c>
      <c r="U53" s="49">
        <f t="shared" ref="U53:AC53" si="3">SQRT(U52)</f>
        <v>0.44721359549995793</v>
      </c>
      <c r="V53" s="49">
        <f t="shared" si="3"/>
        <v>0.54772255750516619</v>
      </c>
      <c r="W53" s="49">
        <f t="shared" si="3"/>
        <v>0.63245553203367588</v>
      </c>
      <c r="X53" s="49">
        <f t="shared" si="3"/>
        <v>0.70710678118654757</v>
      </c>
      <c r="Y53" s="49">
        <f t="shared" si="3"/>
        <v>0.7745966692414834</v>
      </c>
      <c r="Z53" s="49">
        <f t="shared" si="3"/>
        <v>0.83666002653407556</v>
      </c>
      <c r="AA53" s="49">
        <f t="shared" si="3"/>
        <v>0.89442719099991586</v>
      </c>
      <c r="AB53" s="49">
        <f t="shared" si="3"/>
        <v>0.94868329805051377</v>
      </c>
      <c r="AC53" s="49">
        <f t="shared" si="3"/>
        <v>1</v>
      </c>
    </row>
    <row r="56" spans="1:32">
      <c r="B56" s="48" t="s">
        <v>29</v>
      </c>
      <c r="C56" s="48"/>
      <c r="D56" s="48" t="s">
        <v>449</v>
      </c>
      <c r="E56" s="48">
        <v>52695</v>
      </c>
      <c r="F56" s="6">
        <v>39622</v>
      </c>
      <c r="G56" s="6">
        <v>0</v>
      </c>
      <c r="H56" s="6">
        <v>0</v>
      </c>
      <c r="I56" s="6">
        <v>0</v>
      </c>
      <c r="J56" s="6">
        <v>710</v>
      </c>
      <c r="K56" s="6">
        <v>312</v>
      </c>
      <c r="L56" s="6">
        <v>192</v>
      </c>
      <c r="M56" s="6">
        <v>0</v>
      </c>
      <c r="N56" s="6">
        <v>0</v>
      </c>
      <c r="O56" s="6" t="e">
        <f ca="1">checksummeint(G56,H56,I56,J56,K56,L56,M56,N56)</f>
        <v>#NAME?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</row>
    <row r="57" spans="1:32">
      <c r="B57" s="48" t="s">
        <v>103</v>
      </c>
      <c r="C57" s="48"/>
      <c r="D57" s="48">
        <v>28</v>
      </c>
      <c r="E57" s="48" t="s">
        <v>12</v>
      </c>
      <c r="F57" s="6">
        <v>36</v>
      </c>
      <c r="G57" s="6">
        <v>0</v>
      </c>
      <c r="H57" s="6">
        <v>0</v>
      </c>
      <c r="I57" s="6">
        <v>0</v>
      </c>
      <c r="J57" s="6">
        <v>400</v>
      </c>
      <c r="K57" s="6">
        <v>0</v>
      </c>
      <c r="L57" s="6">
        <v>0</v>
      </c>
      <c r="M57" s="6">
        <v>0</v>
      </c>
      <c r="N57" s="6">
        <v>0</v>
      </c>
      <c r="O57" s="6" t="s">
        <v>19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</row>
    <row r="58" spans="1:32">
      <c r="A58" s="48"/>
      <c r="B58" s="48"/>
      <c r="C58" s="48"/>
      <c r="D58" s="48">
        <v>4</v>
      </c>
      <c r="E58" s="48" t="s">
        <v>15</v>
      </c>
      <c r="F58" s="6">
        <v>0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</row>
    <row r="59" spans="1:32">
      <c r="A59" s="48"/>
      <c r="B59" s="48"/>
      <c r="C59" s="48"/>
      <c r="D59" s="48">
        <v>8</v>
      </c>
      <c r="E59" s="48" t="s">
        <v>14</v>
      </c>
      <c r="F59" s="6">
        <v>0</v>
      </c>
      <c r="G59" s="6">
        <v>2</v>
      </c>
      <c r="H59" s="6">
        <v>0</v>
      </c>
      <c r="I59" s="6">
        <v>0</v>
      </c>
      <c r="J59" s="6">
        <v>0</v>
      </c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>
      <c r="A60" s="48"/>
      <c r="B60" s="48"/>
      <c r="C60" s="48"/>
      <c r="D60" s="48">
        <v>4</v>
      </c>
      <c r="E60" s="48" t="s">
        <v>15</v>
      </c>
      <c r="F60" s="6">
        <v>1</v>
      </c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>
      <c r="A61" s="48"/>
      <c r="B61" s="48"/>
      <c r="C61" s="48"/>
      <c r="D61" s="48">
        <v>7</v>
      </c>
      <c r="E61" s="48" t="s">
        <v>11</v>
      </c>
      <c r="F61" s="6">
        <v>0</v>
      </c>
      <c r="G61" s="6">
        <v>0</v>
      </c>
      <c r="H61" s="6">
        <v>0</v>
      </c>
      <c r="I61" s="6">
        <v>0</v>
      </c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</row>
    <row r="62" spans="1:32">
      <c r="A62" s="48"/>
      <c r="B62" s="48"/>
      <c r="C62" s="48"/>
      <c r="D62" s="48">
        <v>4</v>
      </c>
      <c r="E62" s="48" t="s">
        <v>15</v>
      </c>
      <c r="F62" s="6">
        <v>2</v>
      </c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</row>
    <row r="63" spans="1:32">
      <c r="A63" s="48"/>
      <c r="B63" s="48"/>
      <c r="C63" s="48"/>
      <c r="D63" s="48">
        <v>5</v>
      </c>
      <c r="E63" s="48" t="s">
        <v>59</v>
      </c>
      <c r="F63" s="6">
        <v>1</v>
      </c>
      <c r="G63" s="6">
        <v>0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</row>
    <row r="64" spans="1:32" s="48" customFormat="1">
      <c r="D64" s="49">
        <v>18</v>
      </c>
      <c r="E64" s="49" t="s">
        <v>111</v>
      </c>
      <c r="F64" s="49">
        <v>20</v>
      </c>
      <c r="G64" s="49">
        <v>60</v>
      </c>
      <c r="H64" s="49">
        <v>200</v>
      </c>
      <c r="I64" s="49">
        <v>680</v>
      </c>
      <c r="J64" s="49">
        <v>200</v>
      </c>
      <c r="K64" s="6"/>
      <c r="L64" s="6"/>
      <c r="M64" s="6"/>
      <c r="N64" s="6"/>
      <c r="O64" s="6"/>
    </row>
    <row r="65" spans="1:32" s="48" customFormat="1">
      <c r="D65" s="49">
        <v>18</v>
      </c>
      <c r="E65" s="49" t="s">
        <v>111</v>
      </c>
      <c r="F65" s="49">
        <v>20</v>
      </c>
      <c r="G65" s="49">
        <v>70</v>
      </c>
      <c r="H65" s="49">
        <v>210</v>
      </c>
      <c r="I65" s="49">
        <v>70</v>
      </c>
      <c r="J65" s="49">
        <v>10</v>
      </c>
      <c r="K65" s="6"/>
      <c r="L65" s="6"/>
      <c r="M65" s="6"/>
      <c r="N65" s="6"/>
      <c r="O65" s="6"/>
    </row>
    <row r="66" spans="1:32">
      <c r="A66" s="48"/>
      <c r="B66" s="48"/>
      <c r="C66" s="48"/>
      <c r="D66" s="48">
        <f>ROUNDUP(6+F66/2,0)</f>
        <v>7</v>
      </c>
      <c r="E66" s="48" t="s">
        <v>6</v>
      </c>
      <c r="F66" s="6">
        <f>LEN(G66)</f>
        <v>1</v>
      </c>
      <c r="G66" s="6" t="s">
        <v>21</v>
      </c>
      <c r="H66" s="6">
        <v>10</v>
      </c>
      <c r="I66" s="6">
        <v>85</v>
      </c>
      <c r="J66" s="6">
        <v>0</v>
      </c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</row>
    <row r="67" spans="1:32">
      <c r="A67" s="48"/>
      <c r="B67" s="48"/>
      <c r="C67" s="48"/>
      <c r="D67" s="48">
        <f>ROUNDUP(6+F67/2,0)</f>
        <v>7</v>
      </c>
      <c r="E67" s="48" t="s">
        <v>6</v>
      </c>
      <c r="F67" s="6">
        <f>LEN(G67)</f>
        <v>1</v>
      </c>
      <c r="G67" s="6" t="s">
        <v>22</v>
      </c>
      <c r="H67" s="6">
        <v>180</v>
      </c>
      <c r="I67" s="6">
        <v>685</v>
      </c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</row>
    <row r="68" spans="1:32">
      <c r="A68" s="48">
        <v>70</v>
      </c>
      <c r="B68" s="48">
        <f>A69-A68</f>
        <v>228</v>
      </c>
      <c r="C68" s="48"/>
      <c r="D68" s="48">
        <v>8</v>
      </c>
      <c r="E68" s="48" t="s">
        <v>14</v>
      </c>
      <c r="F68" s="6">
        <v>0</v>
      </c>
      <c r="G68" s="6">
        <v>1</v>
      </c>
      <c r="H68" s="6">
        <v>0</v>
      </c>
      <c r="I68" s="6">
        <v>0</v>
      </c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</row>
    <row r="69" spans="1:32">
      <c r="A69" s="48">
        <v>298</v>
      </c>
      <c r="B69" s="48">
        <f>A70-A68</f>
        <v>570</v>
      </c>
      <c r="C69" s="48"/>
      <c r="D69" s="48">
        <v>4</v>
      </c>
      <c r="E69" s="48" t="s">
        <v>15</v>
      </c>
      <c r="F69" s="6">
        <v>3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</row>
    <row r="70" spans="1:32">
      <c r="A70" s="48">
        <v>640</v>
      </c>
      <c r="B70" s="48">
        <f>(B69-0.5*B68)/B69</f>
        <v>0.8</v>
      </c>
      <c r="C70" s="48"/>
      <c r="D70" s="48">
        <v>7</v>
      </c>
      <c r="E70" s="48" t="s">
        <v>11</v>
      </c>
      <c r="F70" s="6">
        <v>0</v>
      </c>
      <c r="G70" s="6">
        <f>255*256+192</f>
        <v>65472</v>
      </c>
      <c r="H70" s="6">
        <v>192</v>
      </c>
      <c r="I70" s="6">
        <v>0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</row>
    <row r="71" spans="1:32">
      <c r="A71" s="48"/>
      <c r="B71" s="48"/>
      <c r="C71" s="48"/>
      <c r="D71" s="48">
        <v>4</v>
      </c>
      <c r="E71" s="48" t="s">
        <v>15</v>
      </c>
      <c r="F71" s="6">
        <v>4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</row>
    <row r="72" spans="1:32">
      <c r="A72" s="48"/>
      <c r="B72" s="48" t="s">
        <v>23</v>
      </c>
      <c r="C72" s="48"/>
      <c r="D72" s="48">
        <f>F72*2+4</f>
        <v>12</v>
      </c>
      <c r="E72" s="48" t="s">
        <v>4</v>
      </c>
      <c r="F72" s="6">
        <v>4</v>
      </c>
      <c r="G72" s="6">
        <v>70</v>
      </c>
      <c r="H72" s="6">
        <v>200</v>
      </c>
      <c r="I72" s="6">
        <v>298</v>
      </c>
      <c r="J72" s="6">
        <v>50</v>
      </c>
      <c r="K72" s="6">
        <v>640</v>
      </c>
      <c r="L72" s="6">
        <v>50</v>
      </c>
      <c r="M72" s="6">
        <f>K72</f>
        <v>640</v>
      </c>
      <c r="N72" s="6">
        <f>H72</f>
        <v>200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</row>
    <row r="73" spans="1:32">
      <c r="A73" s="48"/>
      <c r="B73" s="48"/>
      <c r="C73" s="48"/>
      <c r="D73" s="48">
        <v>4</v>
      </c>
      <c r="E73" s="48" t="s">
        <v>15</v>
      </c>
      <c r="F73" s="6">
        <v>2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</row>
    <row r="74" spans="1:32">
      <c r="A74" s="48"/>
      <c r="B74" s="48"/>
      <c r="C74" s="48">
        <v>90</v>
      </c>
      <c r="D74" s="49">
        <v>44</v>
      </c>
      <c r="E74" s="49" t="s">
        <v>112</v>
      </c>
      <c r="F74" s="48">
        <v>20</v>
      </c>
      <c r="G74" s="6">
        <f>G72</f>
        <v>70</v>
      </c>
      <c r="H74" s="6">
        <f>H72+C74</f>
        <v>290</v>
      </c>
      <c r="I74" s="6">
        <f>K72</f>
        <v>640</v>
      </c>
      <c r="J74" s="6">
        <f>H74</f>
        <v>290</v>
      </c>
      <c r="K74" s="6" t="s">
        <v>24</v>
      </c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</row>
    <row r="75" spans="1:32">
      <c r="A75" s="48"/>
      <c r="B75" s="48"/>
      <c r="C75" s="48">
        <v>40</v>
      </c>
      <c r="D75" s="48">
        <v>64</v>
      </c>
      <c r="E75" s="1" t="s">
        <v>114</v>
      </c>
      <c r="F75" s="48">
        <v>20</v>
      </c>
      <c r="G75" s="6">
        <f>G72</f>
        <v>70</v>
      </c>
      <c r="H75" s="6">
        <f>H72+C75</f>
        <v>240</v>
      </c>
      <c r="I75" s="6">
        <f>M72</f>
        <v>640</v>
      </c>
      <c r="J75" s="6">
        <f>H75</f>
        <v>240</v>
      </c>
      <c r="K75" s="6">
        <f>I72</f>
        <v>298</v>
      </c>
      <c r="L75" s="6">
        <f>H75</f>
        <v>240</v>
      </c>
      <c r="M75" s="6" t="s">
        <v>26</v>
      </c>
      <c r="N75" s="6" t="s">
        <v>27</v>
      </c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</row>
    <row r="76" spans="1:32">
      <c r="A76" s="48"/>
      <c r="B76" s="48" t="s">
        <v>8</v>
      </c>
      <c r="C76" s="48"/>
      <c r="D76" s="48">
        <v>8</v>
      </c>
      <c r="E76" s="48" t="s">
        <v>1</v>
      </c>
      <c r="F76" s="6">
        <v>2</v>
      </c>
      <c r="G76" s="6">
        <f>K75</f>
        <v>298</v>
      </c>
      <c r="H76" s="6">
        <v>200</v>
      </c>
      <c r="I76" s="6">
        <f>K75</f>
        <v>298</v>
      </c>
      <c r="J76" s="6">
        <v>50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</row>
    <row r="77" spans="1:32">
      <c r="A77" s="48"/>
      <c r="B77" s="48"/>
      <c r="C77" s="48"/>
      <c r="D77" s="48">
        <v>28</v>
      </c>
      <c r="E77" s="48" t="s">
        <v>12</v>
      </c>
      <c r="F77" s="6">
        <v>36</v>
      </c>
      <c r="G77" s="6">
        <v>0</v>
      </c>
      <c r="H77" s="6">
        <v>900</v>
      </c>
      <c r="I77" s="6">
        <v>0</v>
      </c>
      <c r="J77" s="6">
        <v>400</v>
      </c>
      <c r="K77" s="6">
        <v>0</v>
      </c>
      <c r="L77" s="6">
        <v>0</v>
      </c>
      <c r="M77" s="6">
        <v>0</v>
      </c>
      <c r="N77" s="6">
        <v>0</v>
      </c>
      <c r="O77" s="6" t="s">
        <v>19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</row>
    <row r="78" spans="1:32">
      <c r="A78" s="48"/>
      <c r="B78" s="48"/>
      <c r="C78" s="48"/>
      <c r="D78" s="48">
        <v>4</v>
      </c>
      <c r="E78" s="48" t="s">
        <v>15</v>
      </c>
      <c r="F78" s="6">
        <v>5</v>
      </c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</row>
    <row r="79" spans="1:32">
      <c r="A79" s="48"/>
      <c r="B79" s="48"/>
      <c r="C79" s="48">
        <v>-40</v>
      </c>
      <c r="D79" s="48">
        <v>44</v>
      </c>
      <c r="E79" s="1" t="s">
        <v>112</v>
      </c>
      <c r="F79" s="48">
        <v>20</v>
      </c>
      <c r="G79" s="6">
        <f>G72+C79</f>
        <v>30</v>
      </c>
      <c r="H79" s="6">
        <f>H72</f>
        <v>200</v>
      </c>
      <c r="I79" s="6">
        <f>G79</f>
        <v>30</v>
      </c>
      <c r="J79" s="6">
        <f>L72</f>
        <v>50</v>
      </c>
      <c r="K79" s="6" t="s">
        <v>25</v>
      </c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</row>
    <row r="80" spans="1:32">
      <c r="A80" s="48"/>
      <c r="B80" s="48"/>
      <c r="C80" s="48"/>
      <c r="D80" s="48">
        <v>10</v>
      </c>
      <c r="E80" s="48" t="s">
        <v>1</v>
      </c>
      <c r="F80" s="6">
        <v>3</v>
      </c>
      <c r="G80" s="6">
        <v>260</v>
      </c>
      <c r="H80" s="6">
        <v>75</v>
      </c>
      <c r="I80" s="6">
        <f>G80</f>
        <v>260</v>
      </c>
      <c r="J80" s="6">
        <f>L80</f>
        <v>125</v>
      </c>
      <c r="K80" s="6">
        <v>184</v>
      </c>
      <c r="L80" s="6">
        <v>125</v>
      </c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</row>
    <row r="81" spans="1:32">
      <c r="A81" s="48"/>
      <c r="B81" s="48"/>
      <c r="C81" s="48"/>
      <c r="D81" s="48">
        <v>4</v>
      </c>
      <c r="E81" s="48" t="s">
        <v>15</v>
      </c>
      <c r="F81" s="6">
        <v>0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</row>
    <row r="82" spans="1:32">
      <c r="A82" s="48"/>
      <c r="B82" s="48"/>
      <c r="C82" s="48"/>
      <c r="D82" s="48">
        <f>ROUNDUP(6+F82/2,0)</f>
        <v>7</v>
      </c>
      <c r="E82" s="48" t="s">
        <v>6</v>
      </c>
      <c r="F82" s="6">
        <f>LEN(G82)</f>
        <v>1</v>
      </c>
      <c r="G82" s="6" t="s">
        <v>28</v>
      </c>
      <c r="H82" s="6">
        <v>90</v>
      </c>
      <c r="I82" s="6">
        <v>265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</row>
    <row r="83" spans="1:32">
      <c r="A83" s="48"/>
      <c r="B83" s="48"/>
      <c r="C83" s="48"/>
      <c r="D83" s="48">
        <f>ROUNDUP(6+F83/2,0)</f>
        <v>7</v>
      </c>
      <c r="E83" s="48" t="s">
        <v>6</v>
      </c>
      <c r="F83" s="6">
        <f>LEN(G83)</f>
        <v>1</v>
      </c>
      <c r="G83" s="6">
        <v>1</v>
      </c>
      <c r="H83" s="6">
        <v>130</v>
      </c>
      <c r="I83" s="6">
        <v>220</v>
      </c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</row>
    <row r="84" spans="1:32">
      <c r="A84" s="48"/>
      <c r="B84" s="48"/>
      <c r="C84" s="48"/>
      <c r="D84" s="48">
        <v>7</v>
      </c>
      <c r="E84" s="48" t="s">
        <v>11</v>
      </c>
      <c r="F84" s="6">
        <v>0</v>
      </c>
      <c r="G84" s="6">
        <f>127*256</f>
        <v>32512</v>
      </c>
      <c r="H84" s="6">
        <v>0</v>
      </c>
      <c r="I84" s="6">
        <v>0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</row>
    <row r="85" spans="1:32">
      <c r="A85" s="48"/>
      <c r="B85" s="48"/>
      <c r="C85" s="48"/>
      <c r="D85" s="48">
        <v>4</v>
      </c>
      <c r="E85" s="48" t="s">
        <v>15</v>
      </c>
      <c r="F85" s="6">
        <v>6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</row>
    <row r="86" spans="1:32">
      <c r="A86" s="48"/>
      <c r="B86" s="48"/>
      <c r="C86" s="48"/>
      <c r="D86" s="48">
        <f>F86*2+4</f>
        <v>30</v>
      </c>
      <c r="E86" s="48" t="s">
        <v>4</v>
      </c>
      <c r="F86" s="6">
        <v>13</v>
      </c>
      <c r="G86" s="6">
        <v>70</v>
      </c>
      <c r="H86" s="6">
        <v>200</v>
      </c>
      <c r="I86" s="6">
        <f>G86</f>
        <v>70</v>
      </c>
      <c r="J86" s="6">
        <f>H86-25</f>
        <v>175</v>
      </c>
      <c r="K86" s="6">
        <f>I86+38</f>
        <v>108</v>
      </c>
      <c r="L86" s="6">
        <f>J86</f>
        <v>175</v>
      </c>
      <c r="M86" s="6">
        <f>K86</f>
        <v>108</v>
      </c>
      <c r="N86" s="6">
        <f>L86-25</f>
        <v>150</v>
      </c>
      <c r="O86" s="6">
        <f>M86+38</f>
        <v>146</v>
      </c>
      <c r="P86" s="48">
        <f>N86</f>
        <v>150</v>
      </c>
      <c r="Q86" s="48">
        <f>O86</f>
        <v>146</v>
      </c>
      <c r="R86" s="48">
        <f>P86-25</f>
        <v>125</v>
      </c>
      <c r="S86" s="48">
        <f>Q86+38</f>
        <v>184</v>
      </c>
      <c r="T86" s="48">
        <f>R86</f>
        <v>125</v>
      </c>
      <c r="U86" s="48">
        <f>S86</f>
        <v>184</v>
      </c>
      <c r="V86" s="48">
        <f>T86-25</f>
        <v>100</v>
      </c>
      <c r="W86" s="48">
        <f>U86+38</f>
        <v>222</v>
      </c>
      <c r="X86" s="48">
        <f>V86</f>
        <v>100</v>
      </c>
      <c r="Y86" s="48">
        <f>W86</f>
        <v>222</v>
      </c>
      <c r="Z86" s="48">
        <f>X86-25</f>
        <v>75</v>
      </c>
      <c r="AA86" s="48">
        <f>Y86+38</f>
        <v>260</v>
      </c>
      <c r="AB86" s="48">
        <f>Z86</f>
        <v>75</v>
      </c>
      <c r="AC86" s="48">
        <f>AA86</f>
        <v>260</v>
      </c>
      <c r="AD86" s="48">
        <f>AB86-25</f>
        <v>50</v>
      </c>
      <c r="AE86" s="48">
        <f>AC86+38</f>
        <v>298</v>
      </c>
      <c r="AF86" s="48">
        <f>AD86</f>
        <v>50</v>
      </c>
    </row>
    <row r="87" spans="1:32">
      <c r="A87" s="48"/>
      <c r="B87" s="48"/>
      <c r="C87" s="48"/>
      <c r="D87" s="48">
        <f>ROUNDUP(6+F87/2,0)</f>
        <v>10</v>
      </c>
      <c r="E87" s="48" t="s">
        <v>6</v>
      </c>
      <c r="F87" s="6">
        <f>LEN(G87)</f>
        <v>7</v>
      </c>
      <c r="G87" s="6" t="s">
        <v>245</v>
      </c>
      <c r="H87" s="6">
        <v>160</v>
      </c>
      <c r="I87" s="6">
        <v>150</v>
      </c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</row>
    <row r="88" spans="1:32">
      <c r="A88" s="48"/>
      <c r="B88" s="48"/>
      <c r="C88" s="48"/>
      <c r="D88" s="48">
        <f>ROUNDUP(6+F88/2,0)</f>
        <v>10</v>
      </c>
      <c r="E88" s="48" t="s">
        <v>6</v>
      </c>
      <c r="F88" s="6">
        <f>LEN(G88)</f>
        <v>8</v>
      </c>
      <c r="G88" s="6" t="s">
        <v>5</v>
      </c>
      <c r="H88" s="6">
        <v>160</v>
      </c>
      <c r="I88" s="6">
        <v>400</v>
      </c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</row>
    <row r="90" spans="1:32">
      <c r="A90" s="48" t="s">
        <v>383</v>
      </c>
      <c r="B90" s="48" t="s">
        <v>788</v>
      </c>
      <c r="C90" s="48"/>
      <c r="D90" s="48" t="s">
        <v>449</v>
      </c>
      <c r="E90" s="48">
        <v>52695</v>
      </c>
      <c r="F90" s="6">
        <v>39622</v>
      </c>
      <c r="G90" s="6">
        <v>0</v>
      </c>
      <c r="H90" s="6">
        <v>0</v>
      </c>
      <c r="I90" s="6">
        <v>0</v>
      </c>
      <c r="J90" s="6">
        <v>910</v>
      </c>
      <c r="K90" s="6">
        <v>510</v>
      </c>
      <c r="L90" s="6">
        <v>192</v>
      </c>
      <c r="M90" s="6">
        <v>0</v>
      </c>
      <c r="N90" s="6">
        <v>0</v>
      </c>
      <c r="O90" s="6" t="e">
        <f ca="1">checksummeint(G90,H90,I90,J90,K90,L90,M90,N90)</f>
        <v>#NAME?</v>
      </c>
      <c r="P90" s="48"/>
      <c r="Q90" s="48"/>
      <c r="R90" s="48"/>
    </row>
    <row r="91" spans="1:32">
      <c r="B91" s="48" t="s">
        <v>698</v>
      </c>
      <c r="C91" s="48"/>
      <c r="D91" s="48">
        <v>28</v>
      </c>
      <c r="E91" s="48" t="s">
        <v>12</v>
      </c>
      <c r="F91" s="6">
        <v>36</v>
      </c>
      <c r="G91" s="6">
        <v>0</v>
      </c>
      <c r="H91" s="6">
        <v>0</v>
      </c>
      <c r="I91" s="6">
        <v>0</v>
      </c>
      <c r="J91" s="6">
        <v>400</v>
      </c>
      <c r="K91" s="6">
        <v>0</v>
      </c>
      <c r="L91" s="6">
        <v>0</v>
      </c>
      <c r="M91" s="6">
        <v>0</v>
      </c>
      <c r="N91" s="6">
        <v>0</v>
      </c>
      <c r="O91" s="6" t="s">
        <v>19</v>
      </c>
      <c r="P91" s="48"/>
      <c r="Q91" s="48"/>
      <c r="R91" s="48"/>
    </row>
    <row r="92" spans="1:32">
      <c r="A92" s="48"/>
      <c r="B92" s="48"/>
      <c r="C92" s="48"/>
      <c r="D92" s="48">
        <v>4</v>
      </c>
      <c r="E92" s="48" t="s">
        <v>15</v>
      </c>
      <c r="F92" s="6">
        <v>0</v>
      </c>
      <c r="P92" s="48"/>
      <c r="Q92" s="48"/>
      <c r="R92" s="48"/>
    </row>
    <row r="93" spans="1:32">
      <c r="A93" s="48"/>
      <c r="B93" s="48"/>
      <c r="C93" s="48"/>
      <c r="D93" s="48">
        <v>8</v>
      </c>
      <c r="E93" s="48" t="s">
        <v>14</v>
      </c>
      <c r="F93" s="6">
        <v>0</v>
      </c>
      <c r="G93" s="6">
        <v>2</v>
      </c>
      <c r="H93" s="6">
        <v>0</v>
      </c>
      <c r="I93" s="6">
        <v>0</v>
      </c>
      <c r="J93" s="6">
        <v>0</v>
      </c>
      <c r="P93" s="48"/>
      <c r="Q93" s="48"/>
      <c r="R93" s="48"/>
    </row>
    <row r="94" spans="1:32">
      <c r="A94" s="48"/>
      <c r="B94" s="48"/>
      <c r="C94" s="48"/>
      <c r="D94" s="48">
        <v>4</v>
      </c>
      <c r="E94" s="48" t="s">
        <v>15</v>
      </c>
      <c r="F94" s="6">
        <v>1</v>
      </c>
      <c r="P94" s="48"/>
      <c r="Q94" s="48"/>
      <c r="R94" s="48"/>
    </row>
    <row r="95" spans="1:32">
      <c r="A95" s="48"/>
      <c r="B95" s="48"/>
      <c r="C95" s="48"/>
      <c r="D95" s="48">
        <v>7</v>
      </c>
      <c r="E95" s="48" t="s">
        <v>11</v>
      </c>
      <c r="F95" s="6">
        <v>0</v>
      </c>
      <c r="G95" s="6">
        <v>0</v>
      </c>
      <c r="H95" s="6">
        <v>0</v>
      </c>
      <c r="I95" s="6">
        <v>0</v>
      </c>
      <c r="P95" s="48"/>
      <c r="Q95" s="48"/>
      <c r="R95" s="48"/>
    </row>
    <row r="96" spans="1:32">
      <c r="A96" s="48"/>
      <c r="B96" s="48"/>
      <c r="C96" s="48"/>
      <c r="D96" s="48">
        <v>4</v>
      </c>
      <c r="E96" s="48" t="s">
        <v>15</v>
      </c>
      <c r="F96" s="6">
        <v>2</v>
      </c>
      <c r="P96" s="48"/>
      <c r="Q96" s="48"/>
      <c r="R96" s="48"/>
    </row>
    <row r="97" spans="1:18">
      <c r="A97" s="48"/>
      <c r="B97" s="48"/>
      <c r="C97" s="48"/>
      <c r="D97" s="48">
        <v>5</v>
      </c>
      <c r="E97" s="48" t="s">
        <v>59</v>
      </c>
      <c r="F97" s="6">
        <v>1</v>
      </c>
      <c r="G97" s="6">
        <v>0</v>
      </c>
      <c r="P97" s="48"/>
      <c r="Q97" s="48"/>
      <c r="R97" s="48"/>
    </row>
    <row r="98" spans="1:18">
      <c r="A98" s="48"/>
      <c r="B98" s="48"/>
      <c r="C98" s="48"/>
      <c r="D98" s="49">
        <v>18</v>
      </c>
      <c r="E98" s="49" t="s">
        <v>111</v>
      </c>
      <c r="F98" s="49">
        <v>20</v>
      </c>
      <c r="G98" s="6">
        <v>110</v>
      </c>
      <c r="H98" s="6">
        <v>390</v>
      </c>
      <c r="I98" s="6">
        <v>880</v>
      </c>
      <c r="J98" s="6">
        <v>390</v>
      </c>
      <c r="P98" s="48"/>
      <c r="Q98" s="48"/>
      <c r="R98" s="48"/>
    </row>
    <row r="99" spans="1:18">
      <c r="A99" s="48"/>
      <c r="B99" s="48"/>
      <c r="C99" s="48"/>
      <c r="D99" s="49">
        <v>18</v>
      </c>
      <c r="E99" s="49" t="s">
        <v>111</v>
      </c>
      <c r="F99" s="49">
        <v>20</v>
      </c>
      <c r="G99" s="6">
        <v>120</v>
      </c>
      <c r="H99" s="6">
        <v>400</v>
      </c>
      <c r="I99" s="6">
        <v>120</v>
      </c>
      <c r="J99" s="6">
        <v>10</v>
      </c>
      <c r="P99" s="48"/>
      <c r="Q99" s="48"/>
      <c r="R99" s="48"/>
    </row>
    <row r="100" spans="1:18">
      <c r="A100" s="48"/>
      <c r="B100" s="48" t="s">
        <v>691</v>
      </c>
      <c r="C100" s="48" t="s">
        <v>16</v>
      </c>
      <c r="D100" s="48">
        <f>ROUNDUP(6+F100/2,0)</f>
        <v>24</v>
      </c>
      <c r="E100" s="48" t="s">
        <v>6</v>
      </c>
      <c r="F100" s="6">
        <f>LEN(G100)</f>
        <v>36</v>
      </c>
      <c r="G100" s="6" t="s">
        <v>36</v>
      </c>
      <c r="H100" s="6">
        <v>10</v>
      </c>
      <c r="I100" s="6">
        <v>135</v>
      </c>
      <c r="J100" s="6">
        <v>0</v>
      </c>
      <c r="P100" s="48"/>
      <c r="Q100" s="48"/>
      <c r="R100" s="48"/>
    </row>
    <row r="101" spans="1:18">
      <c r="A101" s="48" t="s">
        <v>22</v>
      </c>
      <c r="B101" s="48">
        <v>570</v>
      </c>
      <c r="C101" s="48">
        <v>150</v>
      </c>
      <c r="D101" s="48">
        <f>ROUNDUP(6+F101/2,0)</f>
        <v>7</v>
      </c>
      <c r="E101" s="48" t="s">
        <v>6</v>
      </c>
      <c r="F101" s="6">
        <f>LEN(G101)</f>
        <v>1</v>
      </c>
      <c r="G101" s="6" t="s">
        <v>22</v>
      </c>
      <c r="H101" s="6">
        <v>370</v>
      </c>
      <c r="I101" s="6">
        <v>885</v>
      </c>
      <c r="P101" s="48"/>
      <c r="Q101" s="48"/>
      <c r="R101" s="48"/>
    </row>
    <row r="102" spans="1:18">
      <c r="A102" s="48" t="s">
        <v>21</v>
      </c>
      <c r="B102" s="48">
        <v>150</v>
      </c>
      <c r="C102" s="48">
        <v>190</v>
      </c>
      <c r="D102" s="48">
        <v>8</v>
      </c>
      <c r="E102" s="48" t="s">
        <v>14</v>
      </c>
      <c r="F102" s="6">
        <v>0</v>
      </c>
      <c r="G102" s="6">
        <v>1</v>
      </c>
      <c r="H102" s="6">
        <v>0</v>
      </c>
      <c r="I102" s="6">
        <v>0</v>
      </c>
      <c r="P102" s="48"/>
      <c r="Q102" s="48"/>
      <c r="R102" s="48"/>
    </row>
    <row r="103" spans="1:18">
      <c r="A103" s="48" t="s">
        <v>18</v>
      </c>
      <c r="B103" s="48">
        <v>0.8</v>
      </c>
      <c r="C103" s="48">
        <f>2/3</f>
        <v>0.66666666666666663</v>
      </c>
      <c r="D103" s="48">
        <v>4</v>
      </c>
      <c r="E103" s="48" t="s">
        <v>15</v>
      </c>
      <c r="F103" s="6">
        <v>3</v>
      </c>
      <c r="P103" s="48"/>
      <c r="Q103" s="48"/>
      <c r="R103" s="48"/>
    </row>
    <row r="104" spans="1:18">
      <c r="A104" s="48">
        <f>B104+C104+B101*C102</f>
        <v>195700</v>
      </c>
      <c r="B104" s="48">
        <f>B101*B102*B103</f>
        <v>68400</v>
      </c>
      <c r="C104" s="48">
        <f>C101*C102*C103</f>
        <v>19000</v>
      </c>
      <c r="D104" s="48">
        <v>7</v>
      </c>
      <c r="E104" s="48" t="s">
        <v>11</v>
      </c>
      <c r="F104" s="6">
        <v>0</v>
      </c>
      <c r="G104" s="6">
        <f>255*256+192</f>
        <v>65472</v>
      </c>
      <c r="H104" s="6">
        <v>192</v>
      </c>
      <c r="I104" s="6">
        <v>0</v>
      </c>
      <c r="P104" s="48"/>
      <c r="Q104" s="48"/>
      <c r="R104" s="48"/>
    </row>
    <row r="105" spans="1:18">
      <c r="A105" s="48">
        <f>A104/(B101+C101)/(B102+C102)</f>
        <v>0.79942810457516333</v>
      </c>
      <c r="B105" s="48"/>
      <c r="C105" s="48"/>
      <c r="D105" s="48">
        <v>4</v>
      </c>
      <c r="E105" s="48" t="s">
        <v>15</v>
      </c>
      <c r="F105" s="6">
        <v>4</v>
      </c>
      <c r="P105" s="48"/>
      <c r="Q105" s="48"/>
      <c r="R105" s="48"/>
    </row>
    <row r="106" spans="1:18">
      <c r="A106" s="48"/>
      <c r="B106" s="48" t="s">
        <v>23</v>
      </c>
      <c r="C106" s="48"/>
      <c r="D106" s="48">
        <v>16</v>
      </c>
      <c r="E106" s="48" t="s">
        <v>4</v>
      </c>
      <c r="F106" s="6">
        <v>6</v>
      </c>
      <c r="G106" s="6">
        <v>120</v>
      </c>
      <c r="H106" s="6">
        <v>390</v>
      </c>
      <c r="I106" s="6">
        <f>G106+(2-2*C103)*C101</f>
        <v>220</v>
      </c>
      <c r="J106" s="6">
        <f>L106</f>
        <v>200</v>
      </c>
      <c r="K106" s="6">
        <f>G106+C101</f>
        <v>270</v>
      </c>
      <c r="L106" s="6">
        <f>H106-C102</f>
        <v>200</v>
      </c>
      <c r="M106" s="6">
        <f>K106+(2-2*B103)*B101</f>
        <v>497.99999999999994</v>
      </c>
      <c r="N106" s="6">
        <f>P106</f>
        <v>50</v>
      </c>
      <c r="O106" s="6">
        <f>K106+B101</f>
        <v>840</v>
      </c>
      <c r="P106" s="48">
        <f>L106-B102</f>
        <v>50</v>
      </c>
      <c r="Q106" s="48">
        <f>O106</f>
        <v>840</v>
      </c>
      <c r="R106" s="48">
        <f>H106</f>
        <v>390</v>
      </c>
    </row>
    <row r="107" spans="1:18">
      <c r="A107" s="48"/>
      <c r="B107" s="48"/>
      <c r="C107" s="48"/>
      <c r="D107" s="48">
        <f>ROUNDUP(6+F107/2,0)</f>
        <v>9</v>
      </c>
      <c r="E107" s="48" t="s">
        <v>6</v>
      </c>
      <c r="F107" s="6">
        <f>LEN(G107)</f>
        <v>5</v>
      </c>
      <c r="G107" s="6" t="s">
        <v>35</v>
      </c>
      <c r="H107" s="6">
        <v>340</v>
      </c>
      <c r="I107" s="6">
        <v>150</v>
      </c>
      <c r="P107" s="48"/>
      <c r="Q107" s="48"/>
      <c r="R107" s="48"/>
    </row>
    <row r="108" spans="1:18">
      <c r="A108" s="48"/>
      <c r="B108" s="48"/>
      <c r="C108" s="48"/>
      <c r="D108" s="48">
        <f>ROUNDUP(6+F108/2,0)</f>
        <v>9</v>
      </c>
      <c r="E108" s="48" t="s">
        <v>6</v>
      </c>
      <c r="F108" s="6">
        <f>LEN(G108)</f>
        <v>5</v>
      </c>
      <c r="G108" s="6" t="s">
        <v>34</v>
      </c>
      <c r="H108" s="6">
        <v>140</v>
      </c>
      <c r="I108" s="6">
        <v>750</v>
      </c>
      <c r="P108" s="48"/>
      <c r="Q108" s="48"/>
      <c r="R108" s="48"/>
    </row>
    <row r="109" spans="1:18">
      <c r="A109" s="48"/>
      <c r="B109" s="48"/>
      <c r="C109" s="48"/>
      <c r="D109" s="48"/>
      <c r="E109" s="48" t="s">
        <v>517</v>
      </c>
      <c r="F109" s="6" t="s">
        <v>519</v>
      </c>
      <c r="G109" s="6">
        <v>700</v>
      </c>
      <c r="H109" s="6">
        <v>300</v>
      </c>
      <c r="I109" s="6">
        <v>340</v>
      </c>
      <c r="P109" s="48"/>
      <c r="Q109" s="48"/>
      <c r="R109" s="48"/>
    </row>
    <row r="110" spans="1:18">
      <c r="A110" s="48"/>
      <c r="B110" s="48"/>
      <c r="C110" s="48"/>
      <c r="D110" s="48">
        <v>4</v>
      </c>
      <c r="E110" s="48" t="s">
        <v>15</v>
      </c>
      <c r="F110" s="6">
        <v>2</v>
      </c>
      <c r="P110" s="48"/>
      <c r="Q110" s="48"/>
      <c r="R110" s="48"/>
    </row>
    <row r="111" spans="1:18">
      <c r="A111" s="48"/>
      <c r="B111" s="48"/>
      <c r="C111" s="48"/>
      <c r="D111" s="49">
        <v>64</v>
      </c>
      <c r="E111" s="49" t="s">
        <v>114</v>
      </c>
      <c r="F111" s="49">
        <v>20</v>
      </c>
      <c r="G111" s="6">
        <f>G106</f>
        <v>120</v>
      </c>
      <c r="H111" s="6">
        <f>H106+40</f>
        <v>430</v>
      </c>
      <c r="I111" s="6">
        <f>Q106</f>
        <v>840</v>
      </c>
      <c r="J111" s="6">
        <f>H111</f>
        <v>430</v>
      </c>
      <c r="K111" s="49">
        <f>K106</f>
        <v>270</v>
      </c>
      <c r="L111" s="49">
        <f>H111</f>
        <v>430</v>
      </c>
      <c r="M111" s="6" t="s">
        <v>31</v>
      </c>
      <c r="N111" s="6" t="s">
        <v>32</v>
      </c>
      <c r="P111" s="48"/>
      <c r="Q111" s="48"/>
      <c r="R111" s="48"/>
    </row>
    <row r="112" spans="1:18">
      <c r="A112" s="48"/>
      <c r="B112" s="48"/>
      <c r="C112" s="48"/>
      <c r="D112" s="49">
        <v>44</v>
      </c>
      <c r="E112" s="49" t="s">
        <v>112</v>
      </c>
      <c r="F112" s="49">
        <v>20</v>
      </c>
      <c r="G112" s="49">
        <f>G106</f>
        <v>120</v>
      </c>
      <c r="H112" s="50">
        <f>H106+90</f>
        <v>480</v>
      </c>
      <c r="I112" s="50">
        <f>Q106</f>
        <v>840</v>
      </c>
      <c r="J112" s="49">
        <f>H112</f>
        <v>480</v>
      </c>
      <c r="K112" s="6" t="s">
        <v>24</v>
      </c>
      <c r="P112" s="48"/>
      <c r="Q112" s="48"/>
      <c r="R112" s="48"/>
    </row>
    <row r="113" spans="1:18">
      <c r="A113" s="48"/>
      <c r="B113" s="48"/>
      <c r="C113" s="48"/>
      <c r="D113" s="48">
        <v>28</v>
      </c>
      <c r="E113" s="48" t="s">
        <v>12</v>
      </c>
      <c r="F113" s="6">
        <v>36</v>
      </c>
      <c r="G113" s="6">
        <v>0</v>
      </c>
      <c r="H113" s="6">
        <v>900</v>
      </c>
      <c r="I113" s="6">
        <v>0</v>
      </c>
      <c r="J113" s="6">
        <v>400</v>
      </c>
      <c r="K113" s="6">
        <v>0</v>
      </c>
      <c r="L113" s="6">
        <v>0</v>
      </c>
      <c r="M113" s="6">
        <v>0</v>
      </c>
      <c r="N113" s="6">
        <v>0</v>
      </c>
      <c r="O113" s="6" t="s">
        <v>19</v>
      </c>
      <c r="P113" s="48"/>
      <c r="Q113" s="48"/>
      <c r="R113" s="48"/>
    </row>
    <row r="114" spans="1:18">
      <c r="A114" s="48"/>
      <c r="B114" s="48"/>
      <c r="C114" s="48"/>
      <c r="D114" s="48">
        <v>4</v>
      </c>
      <c r="E114" s="48" t="s">
        <v>15</v>
      </c>
      <c r="F114" s="6">
        <v>5</v>
      </c>
      <c r="P114" s="48"/>
      <c r="Q114" s="48"/>
      <c r="R114" s="48"/>
    </row>
    <row r="115" spans="1:18">
      <c r="A115" s="48"/>
      <c r="B115" s="48"/>
      <c r="C115" s="48"/>
      <c r="D115" s="49">
        <v>64</v>
      </c>
      <c r="E115" s="49" t="s">
        <v>114</v>
      </c>
      <c r="F115" s="49">
        <v>20</v>
      </c>
      <c r="G115" s="6">
        <f>G106-40</f>
        <v>80</v>
      </c>
      <c r="H115" s="6">
        <f>H106</f>
        <v>390</v>
      </c>
      <c r="I115" s="6">
        <f>G115</f>
        <v>80</v>
      </c>
      <c r="J115" s="6">
        <f>P106</f>
        <v>50</v>
      </c>
      <c r="K115" s="6">
        <f>I115</f>
        <v>80</v>
      </c>
      <c r="L115" s="6">
        <f>L106</f>
        <v>200</v>
      </c>
      <c r="M115" s="6" t="s">
        <v>30</v>
      </c>
      <c r="N115" s="6" t="s">
        <v>33</v>
      </c>
      <c r="P115" s="48"/>
      <c r="Q115" s="48"/>
      <c r="R115" s="48"/>
    </row>
    <row r="116" spans="1:18">
      <c r="A116" s="48"/>
      <c r="B116" s="48"/>
      <c r="C116" s="48"/>
      <c r="D116" s="49">
        <v>44</v>
      </c>
      <c r="E116" s="49" t="s">
        <v>112</v>
      </c>
      <c r="F116" s="49">
        <v>20</v>
      </c>
      <c r="G116" s="49">
        <f>G106-90</f>
        <v>30</v>
      </c>
      <c r="H116" s="50">
        <f>H106</f>
        <v>390</v>
      </c>
      <c r="I116" s="50">
        <f>G116</f>
        <v>30</v>
      </c>
      <c r="J116" s="49">
        <f>P106</f>
        <v>50</v>
      </c>
      <c r="K116" s="6" t="s">
        <v>25</v>
      </c>
      <c r="P116" s="48"/>
      <c r="Q116" s="48"/>
      <c r="R116" s="48"/>
    </row>
    <row r="117" spans="1:18">
      <c r="A117" s="48"/>
      <c r="B117" s="48"/>
      <c r="C117" s="48"/>
      <c r="D117" s="48">
        <v>28</v>
      </c>
      <c r="E117" s="48" t="s">
        <v>12</v>
      </c>
      <c r="F117" s="6">
        <v>54</v>
      </c>
      <c r="G117" s="6">
        <v>0</v>
      </c>
      <c r="H117" s="6">
        <v>0</v>
      </c>
      <c r="I117" s="6">
        <v>0</v>
      </c>
      <c r="J117" s="6">
        <v>700</v>
      </c>
      <c r="K117" s="6">
        <v>0</v>
      </c>
      <c r="L117" s="6">
        <v>0</v>
      </c>
      <c r="M117" s="6">
        <v>0</v>
      </c>
      <c r="N117" s="6">
        <v>0</v>
      </c>
      <c r="O117" s="6" t="s">
        <v>19</v>
      </c>
      <c r="P117" s="48"/>
      <c r="Q117" s="48"/>
      <c r="R117" s="48"/>
    </row>
    <row r="118" spans="1:18">
      <c r="A118" s="48"/>
      <c r="B118" s="48"/>
      <c r="C118" s="48"/>
      <c r="D118" s="48">
        <v>4</v>
      </c>
      <c r="E118" s="48" t="s">
        <v>15</v>
      </c>
      <c r="F118" s="6">
        <v>6</v>
      </c>
      <c r="P118" s="48"/>
      <c r="Q118" s="48"/>
      <c r="R118" s="48"/>
    </row>
    <row r="119" spans="1:18">
      <c r="A119" s="48"/>
      <c r="B119" s="48"/>
      <c r="C119" s="48"/>
      <c r="D119" s="48">
        <f>ROUNDUP(6+F119/2,0)</f>
        <v>10</v>
      </c>
      <c r="E119" s="48" t="s">
        <v>6</v>
      </c>
      <c r="F119" s="6">
        <f>LEN(G119)</f>
        <v>7</v>
      </c>
      <c r="G119" s="6" t="s">
        <v>37</v>
      </c>
      <c r="H119" s="6">
        <v>140</v>
      </c>
      <c r="I119" s="6">
        <v>150</v>
      </c>
      <c r="P119" s="48"/>
      <c r="Q119" s="48"/>
      <c r="R119" s="48"/>
    </row>
    <row r="120" spans="1:18">
      <c r="A120" s="49"/>
      <c r="B120" s="49"/>
      <c r="C120" s="49"/>
      <c r="D120" s="49">
        <f>F120*2+4</f>
        <v>10</v>
      </c>
      <c r="E120" s="49" t="s">
        <v>1</v>
      </c>
      <c r="F120" s="49">
        <v>3</v>
      </c>
      <c r="G120" s="49">
        <f>I120</f>
        <v>270</v>
      </c>
      <c r="H120" s="50">
        <f>H106</f>
        <v>390</v>
      </c>
      <c r="I120" s="50">
        <f>K106</f>
        <v>270</v>
      </c>
      <c r="J120" s="50">
        <f>L106</f>
        <v>200</v>
      </c>
      <c r="K120" s="49">
        <f>Q106</f>
        <v>840</v>
      </c>
      <c r="L120" s="49">
        <f>J120</f>
        <v>200</v>
      </c>
      <c r="M120" s="49"/>
      <c r="N120" s="49"/>
      <c r="O120" s="49"/>
      <c r="P120" s="49"/>
      <c r="Q120" s="49"/>
      <c r="R120" s="49"/>
    </row>
    <row r="121" spans="1:18" s="48" customFormat="1">
      <c r="A121" s="49"/>
      <c r="B121" s="49"/>
      <c r="C121" s="49"/>
      <c r="D121" s="49"/>
      <c r="E121" s="49"/>
      <c r="F121" s="49"/>
      <c r="G121" s="49"/>
      <c r="H121" s="50"/>
      <c r="I121" s="50"/>
      <c r="J121" s="50"/>
      <c r="K121" s="49"/>
      <c r="L121" s="49"/>
      <c r="M121" s="49"/>
      <c r="N121" s="49"/>
      <c r="O121" s="49"/>
      <c r="P121" s="49"/>
      <c r="Q121" s="49"/>
      <c r="R121" s="49"/>
    </row>
    <row r="122" spans="1:18" s="48" customFormat="1">
      <c r="A122" s="48" t="s">
        <v>383</v>
      </c>
      <c r="B122" s="48" t="s">
        <v>788</v>
      </c>
      <c r="D122" s="48" t="s">
        <v>449</v>
      </c>
      <c r="E122" s="48">
        <v>52695</v>
      </c>
      <c r="F122" s="6">
        <v>39622</v>
      </c>
      <c r="G122" s="6">
        <v>0</v>
      </c>
      <c r="H122" s="6">
        <v>0</v>
      </c>
      <c r="I122" s="6">
        <v>0</v>
      </c>
      <c r="J122" s="6">
        <v>910</v>
      </c>
      <c r="K122" s="6">
        <v>510</v>
      </c>
      <c r="L122" s="6">
        <v>192</v>
      </c>
      <c r="M122" s="6">
        <v>0</v>
      </c>
      <c r="N122" s="6">
        <v>0</v>
      </c>
      <c r="O122" s="6" t="e">
        <f ca="1">checksummeint(G122,H122,I122,J122,K122,L122,M122,N122)</f>
        <v>#NAME?</v>
      </c>
    </row>
    <row r="123" spans="1:18" s="48" customFormat="1">
      <c r="B123" s="48" t="s">
        <v>696</v>
      </c>
      <c r="C123" s="48">
        <v>0</v>
      </c>
      <c r="D123" s="48">
        <v>28</v>
      </c>
      <c r="E123" s="48" t="s">
        <v>12</v>
      </c>
      <c r="F123" s="6">
        <v>36</v>
      </c>
      <c r="G123" s="6">
        <v>0</v>
      </c>
      <c r="H123" s="6">
        <v>0</v>
      </c>
      <c r="I123" s="6">
        <v>0</v>
      </c>
      <c r="J123" s="6">
        <v>400</v>
      </c>
      <c r="K123" s="6">
        <v>0</v>
      </c>
      <c r="L123" s="6">
        <v>0</v>
      </c>
      <c r="M123" s="6">
        <v>0</v>
      </c>
      <c r="N123" s="6">
        <v>0</v>
      </c>
      <c r="O123" s="6" t="s">
        <v>19</v>
      </c>
    </row>
    <row r="124" spans="1:18" s="48" customFormat="1">
      <c r="D124" s="48">
        <v>4</v>
      </c>
      <c r="E124" s="48" t="s">
        <v>15</v>
      </c>
      <c r="F124" s="6">
        <v>0</v>
      </c>
      <c r="G124" s="6"/>
      <c r="H124" s="6"/>
      <c r="I124" s="6"/>
      <c r="J124" s="6"/>
      <c r="K124" s="6"/>
      <c r="L124" s="6"/>
      <c r="M124" s="6"/>
      <c r="N124" s="6"/>
      <c r="O124" s="6"/>
    </row>
    <row r="125" spans="1:18" s="48" customFormat="1">
      <c r="C125" s="48">
        <v>1</v>
      </c>
      <c r="D125" s="48">
        <v>8</v>
      </c>
      <c r="E125" s="48" t="s">
        <v>14</v>
      </c>
      <c r="F125" s="6">
        <v>0</v>
      </c>
      <c r="G125" s="6">
        <v>2</v>
      </c>
      <c r="H125" s="6">
        <v>0</v>
      </c>
      <c r="I125" s="6">
        <v>0</v>
      </c>
      <c r="J125" s="6">
        <v>0</v>
      </c>
      <c r="K125" s="6"/>
      <c r="L125" s="6"/>
      <c r="M125" s="6"/>
      <c r="N125" s="6"/>
      <c r="O125" s="6"/>
    </row>
    <row r="126" spans="1:18" s="48" customFormat="1">
      <c r="D126" s="48">
        <v>4</v>
      </c>
      <c r="E126" s="48" t="s">
        <v>15</v>
      </c>
      <c r="F126" s="6">
        <v>1</v>
      </c>
      <c r="G126" s="6"/>
      <c r="H126" s="6"/>
      <c r="I126" s="6"/>
      <c r="J126" s="6"/>
      <c r="K126" s="6"/>
      <c r="L126" s="6"/>
      <c r="M126" s="6"/>
      <c r="N126" s="6"/>
      <c r="O126" s="6"/>
    </row>
    <row r="127" spans="1:18" s="48" customFormat="1">
      <c r="C127" s="48">
        <v>2</v>
      </c>
      <c r="D127" s="48">
        <v>7</v>
      </c>
      <c r="E127" s="48" t="s">
        <v>11</v>
      </c>
      <c r="F127" s="6">
        <v>0</v>
      </c>
      <c r="G127" s="6">
        <v>0</v>
      </c>
      <c r="H127" s="6">
        <v>0</v>
      </c>
      <c r="I127" s="6">
        <v>0</v>
      </c>
      <c r="J127" s="6"/>
      <c r="K127" s="6"/>
      <c r="L127" s="6"/>
      <c r="M127" s="6"/>
      <c r="N127" s="6"/>
      <c r="O127" s="6"/>
    </row>
    <row r="128" spans="1:18" s="48" customFormat="1">
      <c r="D128" s="48">
        <v>4</v>
      </c>
      <c r="E128" s="48" t="s">
        <v>15</v>
      </c>
      <c r="F128" s="6">
        <v>2</v>
      </c>
      <c r="G128" s="6"/>
      <c r="H128" s="6"/>
      <c r="I128" s="6"/>
      <c r="J128" s="6"/>
      <c r="K128" s="6"/>
      <c r="L128" s="6"/>
      <c r="M128" s="6"/>
      <c r="N128" s="6"/>
      <c r="O128" s="6"/>
    </row>
    <row r="129" spans="1:18" s="48" customFormat="1">
      <c r="D129" s="48">
        <v>5</v>
      </c>
      <c r="E129" s="48" t="s">
        <v>59</v>
      </c>
      <c r="F129" s="6">
        <v>1</v>
      </c>
      <c r="G129" s="6">
        <v>0</v>
      </c>
      <c r="H129" s="6"/>
      <c r="I129" s="6"/>
      <c r="J129" s="6"/>
      <c r="K129" s="6"/>
      <c r="L129" s="6"/>
      <c r="M129" s="6"/>
      <c r="N129" s="6"/>
      <c r="O129" s="6"/>
    </row>
    <row r="130" spans="1:18" s="48" customFormat="1">
      <c r="D130" s="49">
        <v>18</v>
      </c>
      <c r="E130" s="49" t="s">
        <v>111</v>
      </c>
      <c r="F130" s="49">
        <v>20</v>
      </c>
      <c r="G130" s="6">
        <v>110</v>
      </c>
      <c r="H130" s="6">
        <v>390</v>
      </c>
      <c r="I130" s="6">
        <v>880</v>
      </c>
      <c r="J130" s="6">
        <v>390</v>
      </c>
      <c r="K130" s="6"/>
      <c r="L130" s="6"/>
      <c r="M130" s="6"/>
      <c r="N130" s="6"/>
      <c r="O130" s="6"/>
    </row>
    <row r="131" spans="1:18" s="48" customFormat="1">
      <c r="D131" s="49">
        <v>18</v>
      </c>
      <c r="E131" s="49" t="s">
        <v>111</v>
      </c>
      <c r="F131" s="49">
        <v>20</v>
      </c>
      <c r="G131" s="6">
        <v>120</v>
      </c>
      <c r="H131" s="6">
        <v>400</v>
      </c>
      <c r="I131" s="6">
        <v>120</v>
      </c>
      <c r="J131" s="6">
        <v>10</v>
      </c>
      <c r="K131" s="6"/>
      <c r="L131" s="6"/>
      <c r="M131" s="6"/>
      <c r="N131" s="6"/>
      <c r="O131" s="6"/>
    </row>
    <row r="132" spans="1:18" s="48" customFormat="1">
      <c r="B132" s="48" t="s">
        <v>691</v>
      </c>
      <c r="C132" s="48" t="s">
        <v>16</v>
      </c>
      <c r="D132" s="48">
        <f>ROUNDUP(6+F132/2,0)</f>
        <v>31</v>
      </c>
      <c r="E132" s="48" t="s">
        <v>6</v>
      </c>
      <c r="F132" s="6">
        <f>LEN(G132)</f>
        <v>49</v>
      </c>
      <c r="G132" s="6" t="s">
        <v>693</v>
      </c>
      <c r="H132" s="6">
        <v>10</v>
      </c>
      <c r="I132" s="6">
        <v>135</v>
      </c>
      <c r="J132" s="6">
        <v>0</v>
      </c>
      <c r="K132" s="6"/>
      <c r="L132" s="6"/>
      <c r="M132" s="6"/>
      <c r="N132" s="6"/>
      <c r="O132" s="6"/>
    </row>
    <row r="133" spans="1:18" s="48" customFormat="1">
      <c r="A133" s="48" t="s">
        <v>22</v>
      </c>
      <c r="B133" s="48">
        <v>600</v>
      </c>
      <c r="C133" s="48">
        <v>120</v>
      </c>
      <c r="D133" s="48">
        <f>ROUNDUP(6+F133/2,0)</f>
        <v>7</v>
      </c>
      <c r="E133" s="48" t="s">
        <v>6</v>
      </c>
      <c r="F133" s="6">
        <f>LEN(G133)</f>
        <v>1</v>
      </c>
      <c r="G133" s="6" t="s">
        <v>22</v>
      </c>
      <c r="H133" s="6">
        <v>370</v>
      </c>
      <c r="I133" s="6">
        <v>885</v>
      </c>
      <c r="J133" s="6"/>
      <c r="K133" s="6"/>
      <c r="L133" s="6"/>
      <c r="M133" s="6"/>
      <c r="N133" s="6"/>
      <c r="O133" s="6"/>
    </row>
    <row r="134" spans="1:18" s="48" customFormat="1">
      <c r="A134" s="48" t="s">
        <v>21</v>
      </c>
      <c r="B134" s="48">
        <v>90</v>
      </c>
      <c r="C134" s="48">
        <v>250</v>
      </c>
      <c r="D134" s="48">
        <v>8</v>
      </c>
      <c r="E134" s="48" t="s">
        <v>14</v>
      </c>
      <c r="F134" s="6">
        <v>0</v>
      </c>
      <c r="G134" s="6">
        <v>1</v>
      </c>
      <c r="H134" s="6">
        <v>0</v>
      </c>
      <c r="I134" s="6">
        <v>0</v>
      </c>
      <c r="J134" s="6"/>
      <c r="K134" s="6"/>
      <c r="L134" s="6"/>
      <c r="M134" s="6"/>
      <c r="N134" s="6"/>
      <c r="O134" s="6"/>
    </row>
    <row r="135" spans="1:18" s="48" customFormat="1">
      <c r="A135" s="48" t="s">
        <v>18</v>
      </c>
      <c r="B135" s="48">
        <v>0.9</v>
      </c>
      <c r="C135" s="48">
        <f>2/3</f>
        <v>0.66666666666666663</v>
      </c>
      <c r="D135" s="48">
        <v>4</v>
      </c>
      <c r="E135" s="48" t="s">
        <v>15</v>
      </c>
      <c r="F135" s="6">
        <v>3</v>
      </c>
      <c r="G135" s="6"/>
      <c r="H135" s="6"/>
      <c r="I135" s="6"/>
      <c r="J135" s="6"/>
      <c r="K135" s="6"/>
      <c r="L135" s="6"/>
      <c r="M135" s="6"/>
      <c r="N135" s="6"/>
      <c r="O135" s="6"/>
    </row>
    <row r="136" spans="1:18" s="48" customFormat="1">
      <c r="A136" s="48">
        <f>B136+C136+B133*C134</f>
        <v>218600</v>
      </c>
      <c r="B136" s="48">
        <f>B133*B134*B135</f>
        <v>48600</v>
      </c>
      <c r="C136" s="48">
        <f>C133*C134*C135</f>
        <v>20000</v>
      </c>
      <c r="D136" s="48">
        <v>7</v>
      </c>
      <c r="E136" s="48" t="s">
        <v>11</v>
      </c>
      <c r="F136" s="6">
        <v>0</v>
      </c>
      <c r="G136" s="6">
        <f>255*256+192</f>
        <v>65472</v>
      </c>
      <c r="H136" s="6">
        <v>192</v>
      </c>
      <c r="I136" s="6">
        <v>0</v>
      </c>
      <c r="J136" s="6"/>
      <c r="K136" s="6"/>
      <c r="L136" s="6"/>
      <c r="M136" s="6"/>
      <c r="N136" s="6"/>
      <c r="O136" s="6"/>
    </row>
    <row r="137" spans="1:18" s="48" customFormat="1">
      <c r="A137" s="48">
        <f>A136/(B133+C133)/(B134+C134)</f>
        <v>0.89297385620915026</v>
      </c>
      <c r="D137" s="48">
        <v>4</v>
      </c>
      <c r="E137" s="48" t="s">
        <v>15</v>
      </c>
      <c r="F137" s="6">
        <v>4</v>
      </c>
      <c r="G137" s="6"/>
      <c r="H137" s="6"/>
      <c r="I137" s="6"/>
      <c r="J137" s="6"/>
      <c r="K137" s="6"/>
      <c r="L137" s="6"/>
      <c r="M137" s="6"/>
      <c r="N137" s="6"/>
      <c r="O137" s="6"/>
    </row>
    <row r="138" spans="1:18" s="48" customFormat="1">
      <c r="B138" s="48" t="s">
        <v>23</v>
      </c>
      <c r="D138" s="48">
        <v>16</v>
      </c>
      <c r="E138" s="48" t="s">
        <v>4</v>
      </c>
      <c r="F138" s="6">
        <v>6</v>
      </c>
      <c r="G138" s="6">
        <v>120</v>
      </c>
      <c r="H138" s="6">
        <v>390</v>
      </c>
      <c r="I138" s="6">
        <f>G138+(2-2*C135)*C133</f>
        <v>200</v>
      </c>
      <c r="J138" s="6">
        <f>L138</f>
        <v>140</v>
      </c>
      <c r="K138" s="6">
        <f>G138+C133</f>
        <v>240</v>
      </c>
      <c r="L138" s="6">
        <f>H138-C134</f>
        <v>140</v>
      </c>
      <c r="M138" s="6">
        <f>K138+(2-2*B135)*B133</f>
        <v>360</v>
      </c>
      <c r="N138" s="6">
        <f>P138</f>
        <v>50</v>
      </c>
      <c r="O138" s="6">
        <f>K138+B133</f>
        <v>840</v>
      </c>
      <c r="P138" s="48">
        <f>L138-B134</f>
        <v>50</v>
      </c>
      <c r="Q138" s="48">
        <f>O138</f>
        <v>840</v>
      </c>
      <c r="R138" s="48">
        <f>H138</f>
        <v>390</v>
      </c>
    </row>
    <row r="139" spans="1:18" s="48" customFormat="1">
      <c r="D139" s="48">
        <v>4</v>
      </c>
      <c r="E139" s="48" t="s">
        <v>15</v>
      </c>
      <c r="F139" s="6">
        <v>2</v>
      </c>
      <c r="G139" s="6"/>
      <c r="H139" s="6"/>
      <c r="I139" s="6"/>
      <c r="J139" s="6"/>
      <c r="K139" s="6"/>
      <c r="L139" s="6"/>
      <c r="M139" s="6"/>
      <c r="N139" s="6"/>
      <c r="O139" s="6"/>
    </row>
    <row r="140" spans="1:18" s="48" customFormat="1">
      <c r="D140" s="49">
        <v>64</v>
      </c>
      <c r="E140" s="49" t="s">
        <v>114</v>
      </c>
      <c r="F140" s="49">
        <v>20</v>
      </c>
      <c r="G140" s="6">
        <f>G138</f>
        <v>120</v>
      </c>
      <c r="H140" s="6">
        <f>H138+40</f>
        <v>430</v>
      </c>
      <c r="I140" s="6">
        <f>Q138</f>
        <v>840</v>
      </c>
      <c r="J140" s="6">
        <f>H140</f>
        <v>430</v>
      </c>
      <c r="K140" s="49">
        <f>K138</f>
        <v>240</v>
      </c>
      <c r="L140" s="49">
        <f>H140</f>
        <v>430</v>
      </c>
      <c r="M140" s="6" t="s">
        <v>31</v>
      </c>
      <c r="N140" s="6" t="s">
        <v>32</v>
      </c>
      <c r="O140" s="6"/>
    </row>
    <row r="141" spans="1:18" s="48" customFormat="1">
      <c r="D141" s="49">
        <v>44</v>
      </c>
      <c r="E141" s="49" t="s">
        <v>112</v>
      </c>
      <c r="F141" s="49">
        <v>20</v>
      </c>
      <c r="G141" s="49">
        <f>G138</f>
        <v>120</v>
      </c>
      <c r="H141" s="50">
        <f>H138+90</f>
        <v>480</v>
      </c>
      <c r="I141" s="50">
        <f>Q138</f>
        <v>840</v>
      </c>
      <c r="J141" s="49">
        <f>H141</f>
        <v>480</v>
      </c>
      <c r="K141" s="6" t="s">
        <v>24</v>
      </c>
      <c r="L141" s="6"/>
      <c r="M141" s="6"/>
      <c r="N141" s="6"/>
      <c r="O141" s="6"/>
    </row>
    <row r="142" spans="1:18" s="48" customFormat="1">
      <c r="C142" s="48">
        <v>5</v>
      </c>
      <c r="D142" s="48">
        <v>28</v>
      </c>
      <c r="E142" s="48" t="s">
        <v>12</v>
      </c>
      <c r="F142" s="6">
        <v>36</v>
      </c>
      <c r="G142" s="6">
        <v>0</v>
      </c>
      <c r="H142" s="6">
        <v>900</v>
      </c>
      <c r="I142" s="6">
        <v>0</v>
      </c>
      <c r="J142" s="6">
        <v>400</v>
      </c>
      <c r="K142" s="6">
        <v>0</v>
      </c>
      <c r="L142" s="6">
        <v>0</v>
      </c>
      <c r="M142" s="6">
        <v>0</v>
      </c>
      <c r="N142" s="6">
        <v>0</v>
      </c>
      <c r="O142" s="6" t="s">
        <v>19</v>
      </c>
    </row>
    <row r="143" spans="1:18" s="48" customFormat="1">
      <c r="D143" s="48">
        <v>4</v>
      </c>
      <c r="E143" s="48" t="s">
        <v>15</v>
      </c>
      <c r="F143" s="6">
        <v>5</v>
      </c>
      <c r="G143" s="6"/>
      <c r="H143" s="6"/>
      <c r="I143" s="6"/>
      <c r="J143" s="6"/>
      <c r="K143" s="6"/>
      <c r="L143" s="6"/>
      <c r="M143" s="6"/>
      <c r="N143" s="6"/>
      <c r="O143" s="6"/>
    </row>
    <row r="144" spans="1:18" s="48" customFormat="1">
      <c r="D144" s="49">
        <v>64</v>
      </c>
      <c r="E144" s="49" t="s">
        <v>114</v>
      </c>
      <c r="F144" s="49">
        <v>20</v>
      </c>
      <c r="G144" s="6">
        <f>G138-40</f>
        <v>80</v>
      </c>
      <c r="H144" s="6">
        <f>H138</f>
        <v>390</v>
      </c>
      <c r="I144" s="6">
        <f>G144</f>
        <v>80</v>
      </c>
      <c r="J144" s="6">
        <f>P138</f>
        <v>50</v>
      </c>
      <c r="K144" s="6">
        <f>I144</f>
        <v>80</v>
      </c>
      <c r="L144" s="6">
        <f>L138</f>
        <v>140</v>
      </c>
      <c r="M144" s="6" t="s">
        <v>30</v>
      </c>
      <c r="N144" s="6" t="s">
        <v>33</v>
      </c>
      <c r="O144" s="6"/>
    </row>
    <row r="145" spans="1:18" s="48" customFormat="1">
      <c r="D145" s="49">
        <v>44</v>
      </c>
      <c r="E145" s="49" t="s">
        <v>112</v>
      </c>
      <c r="F145" s="49">
        <v>20</v>
      </c>
      <c r="G145" s="49">
        <f>G138-90</f>
        <v>30</v>
      </c>
      <c r="H145" s="50">
        <f>H138</f>
        <v>390</v>
      </c>
      <c r="I145" s="50">
        <f>G145</f>
        <v>30</v>
      </c>
      <c r="J145" s="49">
        <f>P138</f>
        <v>50</v>
      </c>
      <c r="K145" s="6" t="s">
        <v>25</v>
      </c>
      <c r="L145" s="6"/>
      <c r="M145" s="6"/>
      <c r="N145" s="6"/>
      <c r="O145" s="6"/>
    </row>
    <row r="146" spans="1:18" s="48" customFormat="1">
      <c r="C146" s="48">
        <v>6</v>
      </c>
      <c r="D146" s="48">
        <v>7</v>
      </c>
      <c r="E146" s="48" t="s">
        <v>11</v>
      </c>
      <c r="F146" s="6">
        <v>0</v>
      </c>
      <c r="G146" s="6">
        <v>-256</v>
      </c>
      <c r="H146" s="6">
        <v>0</v>
      </c>
      <c r="I146" s="6">
        <v>0</v>
      </c>
      <c r="J146" s="49"/>
      <c r="K146" s="49"/>
      <c r="L146" s="49"/>
      <c r="M146" s="6"/>
      <c r="N146" s="6"/>
      <c r="O146" s="6"/>
    </row>
    <row r="147" spans="1:18" s="48" customFormat="1">
      <c r="C147" s="48">
        <v>7</v>
      </c>
      <c r="D147" s="48">
        <v>8</v>
      </c>
      <c r="E147" s="48" t="s">
        <v>14</v>
      </c>
      <c r="F147" s="6">
        <v>5</v>
      </c>
      <c r="G147" s="6">
        <v>1</v>
      </c>
      <c r="H147" s="6">
        <v>0</v>
      </c>
      <c r="I147" s="6">
        <v>0</v>
      </c>
      <c r="J147" s="49"/>
      <c r="K147" s="49"/>
      <c r="L147" s="49"/>
      <c r="M147" s="6"/>
      <c r="N147" s="6"/>
      <c r="O147" s="6"/>
    </row>
    <row r="148" spans="1:18" s="48" customFormat="1">
      <c r="D148" s="48">
        <v>4</v>
      </c>
      <c r="E148" s="48" t="s">
        <v>15</v>
      </c>
      <c r="F148" s="6">
        <v>6</v>
      </c>
      <c r="G148" s="6"/>
      <c r="H148" s="6"/>
      <c r="I148" s="6"/>
      <c r="J148" s="49"/>
      <c r="K148" s="49"/>
      <c r="L148" s="49"/>
      <c r="M148" s="6"/>
      <c r="N148" s="6"/>
      <c r="O148" s="6"/>
    </row>
    <row r="149" spans="1:18" s="48" customFormat="1">
      <c r="D149" s="48">
        <v>4</v>
      </c>
      <c r="E149" s="48" t="s">
        <v>15</v>
      </c>
      <c r="F149" s="6">
        <v>7</v>
      </c>
      <c r="G149" s="6"/>
      <c r="H149" s="6"/>
      <c r="I149" s="6"/>
      <c r="J149" s="49"/>
      <c r="K149" s="49"/>
      <c r="L149" s="49"/>
      <c r="M149" s="6"/>
      <c r="N149" s="6"/>
      <c r="O149" s="6"/>
    </row>
    <row r="150" spans="1:18" s="48" customFormat="1">
      <c r="D150" s="48">
        <v>7</v>
      </c>
      <c r="E150" s="48" t="s">
        <v>5</v>
      </c>
      <c r="F150" s="48">
        <f>N138+1</f>
        <v>51</v>
      </c>
      <c r="G150" s="48">
        <f>M138+1</f>
        <v>361</v>
      </c>
      <c r="H150" s="48">
        <f>R138</f>
        <v>390</v>
      </c>
      <c r="I150" s="48">
        <f>Q138</f>
        <v>840</v>
      </c>
      <c r="J150" s="6"/>
      <c r="K150" s="6"/>
      <c r="L150" s="6"/>
      <c r="M150" s="6"/>
      <c r="N150" s="6"/>
      <c r="O150" s="6"/>
    </row>
    <row r="151" spans="1:18" s="48" customFormat="1">
      <c r="D151" s="48">
        <v>4</v>
      </c>
      <c r="E151" s="48" t="s">
        <v>15</v>
      </c>
      <c r="F151" s="6">
        <v>3</v>
      </c>
      <c r="J151" s="6"/>
      <c r="K151" s="6"/>
      <c r="L151" s="6"/>
      <c r="M151" s="6"/>
      <c r="N151" s="6"/>
      <c r="O151" s="6"/>
    </row>
    <row r="152" spans="1:18" s="48" customFormat="1">
      <c r="D152" s="49">
        <f>F152*2+4</f>
        <v>10</v>
      </c>
      <c r="E152" s="49" t="s">
        <v>1</v>
      </c>
      <c r="F152" s="49">
        <v>3</v>
      </c>
      <c r="G152" s="49">
        <f>I152</f>
        <v>240</v>
      </c>
      <c r="H152" s="50">
        <f>H138</f>
        <v>390</v>
      </c>
      <c r="I152" s="50">
        <f>K138</f>
        <v>240</v>
      </c>
      <c r="J152" s="50">
        <f>L138</f>
        <v>140</v>
      </c>
      <c r="K152" s="49">
        <f>Q138</f>
        <v>840</v>
      </c>
      <c r="L152" s="49">
        <f>J152</f>
        <v>140</v>
      </c>
      <c r="M152" s="6"/>
      <c r="N152" s="6"/>
      <c r="O152" s="6"/>
    </row>
    <row r="153" spans="1:18" s="48" customFormat="1">
      <c r="A153" s="49"/>
      <c r="B153" s="49"/>
      <c r="C153" s="49"/>
      <c r="D153" s="48">
        <v>4</v>
      </c>
      <c r="E153" s="48" t="s">
        <v>15</v>
      </c>
      <c r="F153" s="6">
        <v>0</v>
      </c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</row>
    <row r="154" spans="1:18" s="48" customFormat="1">
      <c r="A154" s="49"/>
      <c r="B154" s="49"/>
      <c r="C154" s="49"/>
      <c r="D154" s="48">
        <f>ROUNDUP(6+F154/2,0)</f>
        <v>8</v>
      </c>
      <c r="E154" s="48" t="s">
        <v>6</v>
      </c>
      <c r="F154" s="6">
        <f>LEN(G154)</f>
        <v>4</v>
      </c>
      <c r="G154" s="6" t="s">
        <v>263</v>
      </c>
      <c r="H154" s="6">
        <v>340</v>
      </c>
      <c r="I154" s="6">
        <v>150</v>
      </c>
      <c r="J154" s="49"/>
      <c r="K154" s="49"/>
      <c r="L154" s="49"/>
      <c r="M154" s="49"/>
      <c r="N154" s="49"/>
      <c r="O154" s="49"/>
      <c r="P154" s="49"/>
      <c r="Q154" s="49"/>
      <c r="R154" s="49"/>
    </row>
    <row r="155" spans="1:18" s="48" customFormat="1">
      <c r="A155" s="49"/>
      <c r="B155" s="49"/>
      <c r="C155" s="49"/>
      <c r="D155" s="48">
        <f>ROUNDUP(6+F155/2,0)</f>
        <v>8</v>
      </c>
      <c r="E155" s="48" t="s">
        <v>6</v>
      </c>
      <c r="F155" s="6">
        <f>LEN(G155)</f>
        <v>4</v>
      </c>
      <c r="G155" s="6" t="s">
        <v>692</v>
      </c>
      <c r="H155" s="6">
        <v>90</v>
      </c>
      <c r="I155" s="6">
        <v>750</v>
      </c>
      <c r="J155" s="49"/>
      <c r="K155" s="49"/>
      <c r="L155" s="49"/>
      <c r="M155" s="49"/>
      <c r="N155" s="49"/>
      <c r="O155" s="49"/>
      <c r="P155" s="49"/>
      <c r="Q155" s="49"/>
      <c r="R155" s="49"/>
    </row>
    <row r="156" spans="1:18" s="48" customFormat="1">
      <c r="A156" s="49"/>
      <c r="B156" s="49"/>
      <c r="C156" s="49"/>
      <c r="E156" s="48" t="s">
        <v>517</v>
      </c>
      <c r="F156" s="6" t="s">
        <v>519</v>
      </c>
      <c r="G156" s="6">
        <v>700</v>
      </c>
      <c r="H156" s="6">
        <v>300</v>
      </c>
      <c r="I156" s="6">
        <v>340</v>
      </c>
      <c r="J156" s="49"/>
      <c r="M156" s="49"/>
      <c r="N156" s="49"/>
      <c r="O156" s="49"/>
      <c r="P156" s="49"/>
      <c r="Q156" s="49"/>
      <c r="R156" s="49"/>
    </row>
    <row r="157" spans="1:18" s="48" customFormat="1">
      <c r="A157" s="49"/>
      <c r="B157" s="49"/>
      <c r="C157" s="49"/>
      <c r="D157" s="48">
        <v>4</v>
      </c>
      <c r="E157" s="48" t="s">
        <v>15</v>
      </c>
      <c r="F157" s="6">
        <v>2</v>
      </c>
      <c r="G157" s="49"/>
      <c r="H157" s="50"/>
      <c r="K157" s="49"/>
      <c r="L157" s="49"/>
      <c r="O157" s="49"/>
      <c r="P157" s="49"/>
      <c r="Q157" s="49"/>
      <c r="R157" s="49"/>
    </row>
    <row r="158" spans="1:18" s="48" customFormat="1">
      <c r="A158" s="49"/>
      <c r="B158" s="49"/>
      <c r="C158" s="49"/>
      <c r="D158" s="49">
        <v>64</v>
      </c>
      <c r="E158" s="49" t="s">
        <v>114</v>
      </c>
      <c r="F158" s="49">
        <v>20</v>
      </c>
      <c r="G158" s="49">
        <f>K138</f>
        <v>240</v>
      </c>
      <c r="H158" s="50">
        <f>H138-100</f>
        <v>290</v>
      </c>
      <c r="I158" s="50">
        <f>O138</f>
        <v>840</v>
      </c>
      <c r="J158" s="49">
        <f>H158</f>
        <v>290</v>
      </c>
      <c r="K158" s="49">
        <f>M138</f>
        <v>360</v>
      </c>
      <c r="L158" s="49">
        <f>J158</f>
        <v>290</v>
      </c>
      <c r="M158" s="49" t="s">
        <v>694</v>
      </c>
      <c r="N158" s="49" t="s">
        <v>695</v>
      </c>
      <c r="O158" s="49"/>
      <c r="P158" s="49"/>
      <c r="Q158" s="49"/>
      <c r="R158" s="49"/>
    </row>
    <row r="159" spans="1:18" s="48" customFormat="1">
      <c r="A159" s="49"/>
      <c r="B159" s="49"/>
      <c r="C159" s="49"/>
      <c r="D159" s="48">
        <v>5</v>
      </c>
      <c r="E159" s="48" t="s">
        <v>9</v>
      </c>
      <c r="F159" s="48">
        <f>128*256</f>
        <v>32768</v>
      </c>
      <c r="G159" s="48">
        <v>0</v>
      </c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</row>
    <row r="160" spans="1:18" s="48" customFormat="1">
      <c r="A160" s="49"/>
      <c r="B160" s="49"/>
      <c r="C160" s="49"/>
      <c r="D160" s="48">
        <v>28</v>
      </c>
      <c r="E160" s="48" t="s">
        <v>12</v>
      </c>
      <c r="F160" s="6">
        <v>54</v>
      </c>
      <c r="G160" s="6">
        <v>0</v>
      </c>
      <c r="H160" s="6">
        <v>0</v>
      </c>
      <c r="I160" s="6">
        <v>0</v>
      </c>
      <c r="J160" s="6">
        <v>700</v>
      </c>
      <c r="K160" s="6">
        <v>0</v>
      </c>
      <c r="L160" s="6">
        <v>0</v>
      </c>
      <c r="M160" s="6">
        <v>0</v>
      </c>
      <c r="N160" s="6">
        <v>0</v>
      </c>
      <c r="O160" s="6" t="s">
        <v>19</v>
      </c>
      <c r="P160" s="49"/>
      <c r="Q160" s="49"/>
      <c r="R160" s="49"/>
    </row>
    <row r="161" spans="1:18" s="48" customFormat="1">
      <c r="A161" s="49"/>
      <c r="B161" s="49"/>
      <c r="C161" s="49"/>
      <c r="D161" s="48">
        <v>4</v>
      </c>
      <c r="E161" s="48" t="s">
        <v>15</v>
      </c>
      <c r="F161" s="6">
        <v>8</v>
      </c>
      <c r="G161" s="6"/>
      <c r="H161" s="6"/>
      <c r="I161" s="6"/>
      <c r="J161" s="6"/>
      <c r="K161" s="6"/>
      <c r="L161" s="6"/>
      <c r="M161" s="6"/>
      <c r="N161" s="6"/>
      <c r="O161" s="6"/>
      <c r="P161" s="49"/>
      <c r="Q161" s="49"/>
      <c r="R161" s="49"/>
    </row>
    <row r="162" spans="1:18" s="48" customFormat="1">
      <c r="A162" s="49"/>
      <c r="B162" s="49"/>
      <c r="C162" s="49"/>
      <c r="E162" s="48" t="s">
        <v>517</v>
      </c>
      <c r="F162" s="6" t="s">
        <v>697</v>
      </c>
      <c r="G162" s="6">
        <f>M138+100</f>
        <v>460</v>
      </c>
      <c r="H162" s="6">
        <f>L138</f>
        <v>140</v>
      </c>
      <c r="I162" s="49">
        <f>H162+50</f>
        <v>190</v>
      </c>
      <c r="J162" s="6"/>
      <c r="K162" s="6"/>
      <c r="L162" s="6"/>
      <c r="M162" s="6"/>
      <c r="N162" s="6"/>
      <c r="O162" s="6"/>
      <c r="P162" s="49"/>
      <c r="Q162" s="49"/>
      <c r="R162" s="49"/>
    </row>
    <row r="166" spans="1:18">
      <c r="A166" s="48" t="s">
        <v>383</v>
      </c>
      <c r="B166" t="s">
        <v>38</v>
      </c>
      <c r="D166" t="s">
        <v>449</v>
      </c>
      <c r="E166">
        <v>52695</v>
      </c>
      <c r="F166" s="6">
        <v>39622</v>
      </c>
      <c r="G166" s="6">
        <v>0</v>
      </c>
      <c r="H166" s="6">
        <v>0</v>
      </c>
      <c r="I166" s="6">
        <v>0</v>
      </c>
      <c r="J166" s="6">
        <v>1222</v>
      </c>
      <c r="K166" s="6">
        <v>302</v>
      </c>
      <c r="L166" s="6">
        <v>192</v>
      </c>
      <c r="M166" s="6">
        <v>0</v>
      </c>
      <c r="N166" s="6">
        <v>0</v>
      </c>
      <c r="O166" s="6" t="e">
        <f ca="1">checksummeint(G166,H166,I166,J166,K166,L166,M166,N166)</f>
        <v>#NAME?</v>
      </c>
    </row>
    <row r="167" spans="1:18">
      <c r="D167">
        <v>28</v>
      </c>
      <c r="E167" t="s">
        <v>12</v>
      </c>
      <c r="F167" s="6">
        <v>36</v>
      </c>
      <c r="G167" s="6">
        <v>0</v>
      </c>
      <c r="H167" s="6">
        <v>0</v>
      </c>
      <c r="I167" s="6">
        <v>0</v>
      </c>
      <c r="J167" s="6">
        <v>400</v>
      </c>
      <c r="K167" s="6">
        <v>0</v>
      </c>
      <c r="L167" s="6">
        <v>0</v>
      </c>
      <c r="M167" s="6">
        <v>0</v>
      </c>
      <c r="N167" s="6">
        <v>0</v>
      </c>
      <c r="O167" s="6" t="s">
        <v>19</v>
      </c>
    </row>
    <row r="168" spans="1:18">
      <c r="D168">
        <v>4</v>
      </c>
      <c r="E168" t="s">
        <v>15</v>
      </c>
      <c r="F168" s="6">
        <v>0</v>
      </c>
    </row>
    <row r="169" spans="1:18">
      <c r="D169">
        <v>8</v>
      </c>
      <c r="E169" t="s">
        <v>14</v>
      </c>
      <c r="F169" s="6">
        <v>0</v>
      </c>
      <c r="G169" s="6">
        <v>2</v>
      </c>
      <c r="H169" s="6">
        <v>0</v>
      </c>
      <c r="I169" s="6">
        <v>0</v>
      </c>
      <c r="J169" s="6">
        <v>0</v>
      </c>
    </row>
    <row r="170" spans="1:18">
      <c r="D170">
        <v>4</v>
      </c>
      <c r="E170" t="s">
        <v>15</v>
      </c>
      <c r="F170" s="6">
        <v>1</v>
      </c>
    </row>
    <row r="171" spans="1:18">
      <c r="D171">
        <v>7</v>
      </c>
      <c r="E171" t="s">
        <v>11</v>
      </c>
      <c r="F171" s="6">
        <v>0</v>
      </c>
      <c r="G171" s="6">
        <f>255*256+192</f>
        <v>65472</v>
      </c>
      <c r="H171" s="6">
        <v>192</v>
      </c>
      <c r="I171" s="6">
        <v>0</v>
      </c>
    </row>
    <row r="172" spans="1:18">
      <c r="D172">
        <v>4</v>
      </c>
      <c r="E172" t="s">
        <v>15</v>
      </c>
      <c r="F172" s="6">
        <v>2</v>
      </c>
    </row>
    <row r="173" spans="1:18">
      <c r="D173">
        <v>5</v>
      </c>
      <c r="E173" s="48" t="s">
        <v>59</v>
      </c>
      <c r="F173" s="6">
        <v>1</v>
      </c>
      <c r="G173" s="6">
        <v>0</v>
      </c>
    </row>
    <row r="174" spans="1:18">
      <c r="A174">
        <f>(2*K174-I174-G174)*(H174-J174)/2</f>
        <v>64000</v>
      </c>
      <c r="D174">
        <v>12</v>
      </c>
      <c r="E174" t="s">
        <v>4</v>
      </c>
      <c r="F174" s="6">
        <v>4</v>
      </c>
      <c r="G174" s="6">
        <v>0</v>
      </c>
      <c r="H174" s="6">
        <v>280</v>
      </c>
      <c r="I174" s="6">
        <v>160</v>
      </c>
      <c r="J174" s="6">
        <v>80</v>
      </c>
      <c r="K174" s="6">
        <v>400</v>
      </c>
      <c r="L174" s="6">
        <f>J174</f>
        <v>80</v>
      </c>
      <c r="M174" s="6">
        <f>K174</f>
        <v>400</v>
      </c>
      <c r="N174" s="6">
        <f>H174</f>
        <v>280</v>
      </c>
    </row>
    <row r="175" spans="1:18">
      <c r="A175">
        <f>(2*K175-I175-G175)*(H175-J175)/2</f>
        <v>48000</v>
      </c>
      <c r="D175">
        <v>12</v>
      </c>
      <c r="E175" t="s">
        <v>4</v>
      </c>
      <c r="F175" s="6">
        <v>4</v>
      </c>
      <c r="G175" s="6">
        <f>K178+100</f>
        <v>800</v>
      </c>
      <c r="H175" s="6">
        <f>H174</f>
        <v>280</v>
      </c>
      <c r="I175" s="6">
        <v>960</v>
      </c>
      <c r="J175" s="6">
        <f>J174</f>
        <v>80</v>
      </c>
      <c r="K175" s="6">
        <v>1120</v>
      </c>
      <c r="L175" s="6">
        <f>J175</f>
        <v>80</v>
      </c>
      <c r="M175" s="6">
        <f>K175</f>
        <v>1120</v>
      </c>
      <c r="N175" s="6">
        <f>H175</f>
        <v>280</v>
      </c>
    </row>
    <row r="176" spans="1:18">
      <c r="D176">
        <v>7</v>
      </c>
      <c r="E176" t="s">
        <v>11</v>
      </c>
      <c r="F176" s="6">
        <v>0</v>
      </c>
      <c r="G176" s="6">
        <f>255+128*256</f>
        <v>33023</v>
      </c>
      <c r="H176" s="6">
        <v>128</v>
      </c>
      <c r="I176" s="6">
        <v>0</v>
      </c>
    </row>
    <row r="177" spans="1:15">
      <c r="D177">
        <v>4</v>
      </c>
      <c r="E177" t="s">
        <v>15</v>
      </c>
      <c r="F177" s="6">
        <v>3</v>
      </c>
    </row>
    <row r="178" spans="1:15">
      <c r="A178">
        <f>(2*K178-I178-G178)*(H178-J178)/2</f>
        <v>16000</v>
      </c>
      <c r="D178">
        <v>12</v>
      </c>
      <c r="E178" t="s">
        <v>4</v>
      </c>
      <c r="F178" s="6">
        <v>4</v>
      </c>
      <c r="G178" s="6">
        <v>500</v>
      </c>
      <c r="H178" s="6">
        <v>230</v>
      </c>
      <c r="I178" s="6">
        <v>580</v>
      </c>
      <c r="J178" s="6">
        <v>130</v>
      </c>
      <c r="K178" s="6">
        <v>700</v>
      </c>
      <c r="L178" s="6">
        <f>J178</f>
        <v>130</v>
      </c>
      <c r="M178" s="6">
        <f>K178</f>
        <v>700</v>
      </c>
      <c r="N178" s="6">
        <f>H178</f>
        <v>230</v>
      </c>
    </row>
    <row r="179" spans="1:15">
      <c r="D179">
        <v>7</v>
      </c>
      <c r="E179" t="s">
        <v>11</v>
      </c>
      <c r="F179" s="6">
        <v>0</v>
      </c>
      <c r="G179" s="6">
        <v>255</v>
      </c>
      <c r="H179" s="6">
        <v>0</v>
      </c>
      <c r="I179" s="6">
        <v>0</v>
      </c>
    </row>
    <row r="180" spans="1:15">
      <c r="D180">
        <v>4</v>
      </c>
      <c r="E180" t="s">
        <v>15</v>
      </c>
      <c r="F180" s="6">
        <v>4</v>
      </c>
    </row>
    <row r="181" spans="1:15">
      <c r="A181">
        <f>(2*K181-I181-G181)*(H181-J181)/2</f>
        <v>16000</v>
      </c>
      <c r="D181">
        <v>12</v>
      </c>
      <c r="E181" t="s">
        <v>4</v>
      </c>
      <c r="F181" s="6">
        <v>4</v>
      </c>
      <c r="G181" s="6">
        <v>1140</v>
      </c>
      <c r="H181" s="6">
        <f>H174+20</f>
        <v>300</v>
      </c>
      <c r="I181" s="6">
        <v>1140</v>
      </c>
      <c r="J181" s="6">
        <f>J174+20</f>
        <v>100</v>
      </c>
      <c r="K181" s="6">
        <v>1220</v>
      </c>
      <c r="L181" s="6">
        <f>J181</f>
        <v>100</v>
      </c>
      <c r="M181" s="6">
        <f>K181</f>
        <v>1220</v>
      </c>
      <c r="N181" s="6">
        <f>H181</f>
        <v>300</v>
      </c>
    </row>
    <row r="182" spans="1:15">
      <c r="E182" s="6" t="s">
        <v>515</v>
      </c>
      <c r="F182" s="6" t="s">
        <v>529</v>
      </c>
      <c r="G182" s="6">
        <v>160</v>
      </c>
      <c r="H182" s="6">
        <v>1</v>
      </c>
      <c r="I182" s="6">
        <v>500</v>
      </c>
      <c r="J182" s="6">
        <v>960</v>
      </c>
    </row>
    <row r="183" spans="1:15">
      <c r="E183" s="6" t="s">
        <v>515</v>
      </c>
      <c r="F183" s="6" t="s">
        <v>530</v>
      </c>
      <c r="G183" s="6">
        <f>G182</f>
        <v>160</v>
      </c>
      <c r="H183" s="6">
        <v>40</v>
      </c>
      <c r="I183" s="6">
        <f>I182</f>
        <v>500</v>
      </c>
      <c r="J183" s="6">
        <f>J182</f>
        <v>960</v>
      </c>
    </row>
    <row r="184" spans="1:15">
      <c r="D184">
        <v>7</v>
      </c>
      <c r="E184" t="s">
        <v>11</v>
      </c>
      <c r="F184" s="6">
        <v>0</v>
      </c>
      <c r="G184" s="6">
        <v>0</v>
      </c>
      <c r="H184" s="6">
        <v>0</v>
      </c>
      <c r="I184" s="6">
        <v>0</v>
      </c>
    </row>
    <row r="185" spans="1:15">
      <c r="D185">
        <v>4</v>
      </c>
      <c r="E185" t="s">
        <v>15</v>
      </c>
      <c r="F185" s="6">
        <v>5</v>
      </c>
    </row>
    <row r="186" spans="1:15">
      <c r="D186">
        <v>7</v>
      </c>
      <c r="E186" t="s">
        <v>5</v>
      </c>
      <c r="F186" s="6">
        <v>185</v>
      </c>
      <c r="G186" s="6">
        <v>410</v>
      </c>
      <c r="H186" s="6">
        <v>175</v>
      </c>
      <c r="I186" s="6">
        <v>500</v>
      </c>
    </row>
    <row r="187" spans="1:15">
      <c r="D187">
        <v>7</v>
      </c>
      <c r="E187" t="s">
        <v>5</v>
      </c>
      <c r="F187" s="6">
        <v>205</v>
      </c>
      <c r="G187" s="6">
        <v>730</v>
      </c>
      <c r="H187" s="6">
        <v>195</v>
      </c>
      <c r="I187" s="6">
        <v>830</v>
      </c>
    </row>
    <row r="188" spans="1:15">
      <c r="D188">
        <v>7</v>
      </c>
      <c r="E188" t="s">
        <v>5</v>
      </c>
      <c r="F188" s="6">
        <v>165</v>
      </c>
      <c r="G188" s="6">
        <v>730</v>
      </c>
      <c r="H188" s="6">
        <v>155</v>
      </c>
      <c r="I188" s="6">
        <v>830</v>
      </c>
    </row>
    <row r="191" spans="1:15">
      <c r="A191" s="48" t="s">
        <v>383</v>
      </c>
      <c r="B191" t="s">
        <v>39</v>
      </c>
      <c r="D191" t="s">
        <v>449</v>
      </c>
      <c r="E191">
        <v>52695</v>
      </c>
      <c r="F191" s="6">
        <v>39622</v>
      </c>
      <c r="G191" s="6">
        <v>0</v>
      </c>
      <c r="H191" s="6">
        <v>0</v>
      </c>
      <c r="I191" s="6">
        <v>0</v>
      </c>
      <c r="J191" s="6">
        <v>1323</v>
      </c>
      <c r="K191" s="6">
        <v>603</v>
      </c>
      <c r="L191" s="6">
        <v>240</v>
      </c>
      <c r="M191" s="6">
        <v>0</v>
      </c>
      <c r="N191" s="6">
        <v>0</v>
      </c>
      <c r="O191" s="6" t="e">
        <f ca="1">checksummeint(G191,H191,I191,J191,K191,L191,M191,N191)</f>
        <v>#NAME?</v>
      </c>
    </row>
    <row r="192" spans="1:15">
      <c r="D192">
        <v>28</v>
      </c>
      <c r="E192" t="s">
        <v>12</v>
      </c>
      <c r="F192" s="6">
        <v>45</v>
      </c>
      <c r="G192" s="6">
        <v>0</v>
      </c>
      <c r="H192" s="6">
        <v>0</v>
      </c>
      <c r="I192" s="6">
        <v>0</v>
      </c>
      <c r="J192" s="6">
        <v>400</v>
      </c>
      <c r="K192" s="6">
        <v>0</v>
      </c>
      <c r="L192" s="6">
        <v>0</v>
      </c>
      <c r="M192" s="6">
        <v>0</v>
      </c>
      <c r="N192" s="6">
        <v>0</v>
      </c>
      <c r="O192" s="6" t="s">
        <v>19</v>
      </c>
    </row>
    <row r="193" spans="1:14">
      <c r="D193">
        <v>4</v>
      </c>
      <c r="E193" t="s">
        <v>15</v>
      </c>
      <c r="F193" s="6">
        <v>0</v>
      </c>
    </row>
    <row r="194" spans="1:14">
      <c r="D194">
        <v>8</v>
      </c>
      <c r="E194" t="s">
        <v>14</v>
      </c>
      <c r="F194" s="6">
        <v>0</v>
      </c>
      <c r="G194" s="6">
        <v>3</v>
      </c>
      <c r="H194" s="6">
        <v>0</v>
      </c>
      <c r="I194" s="6">
        <v>0</v>
      </c>
      <c r="J194" s="6">
        <v>0</v>
      </c>
    </row>
    <row r="195" spans="1:14">
      <c r="D195">
        <v>4</v>
      </c>
      <c r="E195" t="s">
        <v>15</v>
      </c>
      <c r="F195" s="6">
        <v>1</v>
      </c>
    </row>
    <row r="196" spans="1:14">
      <c r="D196">
        <v>7</v>
      </c>
      <c r="E196" t="s">
        <v>11</v>
      </c>
      <c r="F196" s="6">
        <v>0</v>
      </c>
      <c r="G196" s="6">
        <f>255*256+192</f>
        <v>65472</v>
      </c>
      <c r="H196" s="6">
        <v>192</v>
      </c>
      <c r="I196" s="6">
        <v>0</v>
      </c>
    </row>
    <row r="197" spans="1:14">
      <c r="D197">
        <v>4</v>
      </c>
      <c r="E197" t="s">
        <v>15</v>
      </c>
      <c r="F197" s="6">
        <v>2</v>
      </c>
    </row>
    <row r="198" spans="1:14">
      <c r="A198">
        <f>(H199-J199)*I199/2</f>
        <v>16000</v>
      </c>
      <c r="D198">
        <v>5</v>
      </c>
      <c r="E198" s="48" t="s">
        <v>59</v>
      </c>
      <c r="F198" s="6">
        <v>1</v>
      </c>
      <c r="G198" s="6">
        <v>0</v>
      </c>
    </row>
    <row r="199" spans="1:14">
      <c r="A199">
        <f>(2*K199-I199-G199)*(H199-J199)/2</f>
        <v>64000</v>
      </c>
      <c r="D199">
        <v>12</v>
      </c>
      <c r="E199" t="s">
        <v>4</v>
      </c>
      <c r="F199" s="6">
        <v>4</v>
      </c>
      <c r="G199" s="6">
        <v>0</v>
      </c>
      <c r="H199" s="6">
        <v>280</v>
      </c>
      <c r="I199" s="6">
        <v>160</v>
      </c>
      <c r="J199" s="6">
        <v>80</v>
      </c>
      <c r="K199" s="6">
        <v>400</v>
      </c>
      <c r="L199" s="6">
        <f t="shared" ref="L199:M201" si="4">J199</f>
        <v>80</v>
      </c>
      <c r="M199" s="6">
        <f t="shared" si="4"/>
        <v>400</v>
      </c>
      <c r="N199" s="6">
        <f>H199</f>
        <v>280</v>
      </c>
    </row>
    <row r="200" spans="1:14">
      <c r="A200">
        <f>(2*K200-I200-G200)*(H200-J200)/2</f>
        <v>28000</v>
      </c>
      <c r="D200">
        <v>12</v>
      </c>
      <c r="E200" t="s">
        <v>4</v>
      </c>
      <c r="F200" s="6">
        <v>4</v>
      </c>
      <c r="G200" s="6">
        <f>K205+100</f>
        <v>900</v>
      </c>
      <c r="H200" s="6">
        <f>H199</f>
        <v>280</v>
      </c>
      <c r="I200" s="6">
        <v>1060</v>
      </c>
      <c r="J200" s="6">
        <f>J199</f>
        <v>80</v>
      </c>
      <c r="K200" s="6">
        <v>1120</v>
      </c>
      <c r="L200" s="6">
        <f t="shared" si="4"/>
        <v>80</v>
      </c>
      <c r="M200" s="6">
        <f t="shared" si="4"/>
        <v>1120</v>
      </c>
      <c r="N200" s="6">
        <f>H200</f>
        <v>280</v>
      </c>
    </row>
    <row r="201" spans="1:14">
      <c r="A201">
        <f>(2*K201-I201-G201)*(H201-J201)/2</f>
        <v>64000</v>
      </c>
      <c r="D201">
        <v>12</v>
      </c>
      <c r="E201" t="s">
        <v>4</v>
      </c>
      <c r="F201" s="6">
        <v>4</v>
      </c>
      <c r="G201" s="6">
        <v>0</v>
      </c>
      <c r="H201" s="6">
        <v>580</v>
      </c>
      <c r="I201" s="6">
        <v>160</v>
      </c>
      <c r="J201" s="6">
        <v>380</v>
      </c>
      <c r="K201" s="6">
        <v>400</v>
      </c>
      <c r="L201" s="6">
        <f t="shared" si="4"/>
        <v>380</v>
      </c>
      <c r="M201" s="6">
        <f t="shared" si="4"/>
        <v>400</v>
      </c>
      <c r="N201" s="6">
        <f>H201</f>
        <v>580</v>
      </c>
    </row>
    <row r="202" spans="1:14">
      <c r="A202">
        <f>(I202-G202)*(H202-J202)/2</f>
        <v>12250</v>
      </c>
      <c r="D202">
        <v>10</v>
      </c>
      <c r="E202" t="s">
        <v>4</v>
      </c>
      <c r="F202" s="6">
        <v>3</v>
      </c>
      <c r="G202" s="6">
        <f>K206+100</f>
        <v>900</v>
      </c>
      <c r="H202" s="6">
        <f>H201</f>
        <v>580</v>
      </c>
      <c r="I202" s="6">
        <f>0.8*(H202-J202)+G202</f>
        <v>1040</v>
      </c>
      <c r="J202" s="6">
        <v>405</v>
      </c>
      <c r="K202" s="6">
        <f>I202</f>
        <v>1040</v>
      </c>
      <c r="L202" s="6">
        <f>H202</f>
        <v>580</v>
      </c>
    </row>
    <row r="203" spans="1:14">
      <c r="D203">
        <v>7</v>
      </c>
      <c r="E203" t="s">
        <v>11</v>
      </c>
      <c r="F203" s="6">
        <v>0</v>
      </c>
      <c r="G203" s="6">
        <f>255+128*256</f>
        <v>33023</v>
      </c>
      <c r="H203" s="6">
        <v>128</v>
      </c>
      <c r="I203" s="6">
        <v>0</v>
      </c>
    </row>
    <row r="204" spans="1:14">
      <c r="D204">
        <v>4</v>
      </c>
      <c r="E204" t="s">
        <v>15</v>
      </c>
      <c r="F204" s="6">
        <v>3</v>
      </c>
    </row>
    <row r="205" spans="1:14">
      <c r="A205">
        <f>(2*K205-I205-G205)*(H205-J205)/2</f>
        <v>36000</v>
      </c>
      <c r="D205">
        <v>12</v>
      </c>
      <c r="E205" t="s">
        <v>4</v>
      </c>
      <c r="F205" s="6">
        <v>4</v>
      </c>
      <c r="G205" s="6">
        <v>500</v>
      </c>
      <c r="H205" s="6">
        <v>255</v>
      </c>
      <c r="I205" s="6">
        <v>620</v>
      </c>
      <c r="J205" s="6">
        <v>105</v>
      </c>
      <c r="K205" s="6">
        <v>800</v>
      </c>
      <c r="L205" s="6">
        <f>J205</f>
        <v>105</v>
      </c>
      <c r="M205" s="6">
        <f>K205</f>
        <v>800</v>
      </c>
      <c r="N205" s="6">
        <f>H205</f>
        <v>255</v>
      </c>
    </row>
    <row r="206" spans="1:14">
      <c r="A206">
        <f>(2*K206-I206-G206)*(H206-J206)/2</f>
        <v>51840</v>
      </c>
      <c r="D206">
        <v>12</v>
      </c>
      <c r="E206" t="s">
        <v>4</v>
      </c>
      <c r="F206" s="6">
        <v>4</v>
      </c>
      <c r="G206" s="6">
        <v>500</v>
      </c>
      <c r="H206" s="6">
        <v>596</v>
      </c>
      <c r="I206" s="6">
        <v>620</v>
      </c>
      <c r="J206" s="6">
        <v>380</v>
      </c>
      <c r="K206" s="6">
        <v>800</v>
      </c>
      <c r="L206" s="6">
        <f>J206</f>
        <v>380</v>
      </c>
      <c r="M206" s="6">
        <f>K206</f>
        <v>800</v>
      </c>
      <c r="N206" s="6">
        <f>H206</f>
        <v>596</v>
      </c>
    </row>
    <row r="207" spans="1:14">
      <c r="D207">
        <v>7</v>
      </c>
      <c r="E207" t="s">
        <v>11</v>
      </c>
      <c r="F207" s="6">
        <v>0</v>
      </c>
      <c r="G207" s="6">
        <v>255</v>
      </c>
      <c r="H207" s="6">
        <v>0</v>
      </c>
      <c r="I207" s="6">
        <v>0</v>
      </c>
    </row>
    <row r="208" spans="1:14">
      <c r="D208">
        <v>4</v>
      </c>
      <c r="E208" t="s">
        <v>15</v>
      </c>
      <c r="F208" s="6">
        <v>4</v>
      </c>
    </row>
    <row r="209" spans="1:16">
      <c r="A209">
        <f>(2*K209-I209-G209)*(H209-J209)/2</f>
        <v>36000</v>
      </c>
      <c r="D209">
        <v>12</v>
      </c>
      <c r="E209" t="s">
        <v>4</v>
      </c>
      <c r="F209" s="6">
        <v>4</v>
      </c>
      <c r="G209" s="6">
        <v>1140</v>
      </c>
      <c r="H209" s="6">
        <f>H199+20</f>
        <v>300</v>
      </c>
      <c r="I209" s="6">
        <v>1140</v>
      </c>
      <c r="J209" s="6">
        <f>J199+20</f>
        <v>100</v>
      </c>
      <c r="K209" s="6">
        <v>1320</v>
      </c>
      <c r="L209" s="6">
        <f>J209</f>
        <v>100</v>
      </c>
      <c r="M209" s="6">
        <f>K209</f>
        <v>1320</v>
      </c>
      <c r="N209" s="6">
        <f>H209</f>
        <v>300</v>
      </c>
    </row>
    <row r="210" spans="1:16">
      <c r="D210">
        <v>14</v>
      </c>
      <c r="E210" t="s">
        <v>4</v>
      </c>
      <c r="F210" s="6">
        <v>5</v>
      </c>
      <c r="G210" s="6">
        <f>I202+20</f>
        <v>1060</v>
      </c>
      <c r="H210" s="6">
        <f>H202+20</f>
        <v>600</v>
      </c>
      <c r="I210" s="6">
        <f>G210</f>
        <v>1060</v>
      </c>
      <c r="J210" s="6">
        <f>J202+20</f>
        <v>425</v>
      </c>
      <c r="K210" s="6">
        <f>G202+160+20</f>
        <v>1080</v>
      </c>
      <c r="L210" s="6">
        <f>J201+20</f>
        <v>400</v>
      </c>
      <c r="M210" s="6">
        <f>K210+240</f>
        <v>1320</v>
      </c>
      <c r="N210" s="6">
        <f>L210</f>
        <v>400</v>
      </c>
      <c r="O210" s="6">
        <f>M210</f>
        <v>1320</v>
      </c>
      <c r="P210">
        <f>H210</f>
        <v>600</v>
      </c>
    </row>
    <row r="211" spans="1:16">
      <c r="E211" s="6" t="s">
        <v>515</v>
      </c>
      <c r="F211" s="6" t="s">
        <v>531</v>
      </c>
      <c r="G211" s="6">
        <v>160</v>
      </c>
      <c r="H211" s="6">
        <v>1</v>
      </c>
      <c r="I211" s="6">
        <v>500</v>
      </c>
      <c r="J211" s="6">
        <v>960</v>
      </c>
    </row>
    <row r="212" spans="1:16">
      <c r="E212" s="6" t="s">
        <v>515</v>
      </c>
      <c r="F212" s="6" t="s">
        <v>530</v>
      </c>
      <c r="G212" s="6">
        <f>G211</f>
        <v>160</v>
      </c>
      <c r="H212" s="6">
        <v>40</v>
      </c>
      <c r="I212" s="6">
        <f>I211</f>
        <v>500</v>
      </c>
      <c r="J212" s="6">
        <f>J211</f>
        <v>960</v>
      </c>
    </row>
    <row r="213" spans="1:16">
      <c r="E213" s="6" t="s">
        <v>515</v>
      </c>
      <c r="F213" s="6" t="s">
        <v>532</v>
      </c>
      <c r="G213" s="6">
        <v>160</v>
      </c>
      <c r="H213" s="6">
        <v>300</v>
      </c>
      <c r="I213" s="6">
        <v>500</v>
      </c>
      <c r="J213" s="6">
        <v>960</v>
      </c>
    </row>
    <row r="214" spans="1:16">
      <c r="E214" s="6" t="s">
        <v>515</v>
      </c>
      <c r="F214" s="6" t="s">
        <v>530</v>
      </c>
      <c r="G214" s="6">
        <f>G213</f>
        <v>160</v>
      </c>
      <c r="H214" s="6">
        <v>340</v>
      </c>
      <c r="I214" s="6">
        <f>I213</f>
        <v>500</v>
      </c>
      <c r="J214" s="6">
        <f>J213</f>
        <v>960</v>
      </c>
    </row>
    <row r="215" spans="1:16">
      <c r="D215">
        <v>7</v>
      </c>
      <c r="E215" t="s">
        <v>11</v>
      </c>
      <c r="F215" s="6">
        <v>0</v>
      </c>
      <c r="G215" s="6">
        <v>0</v>
      </c>
      <c r="H215" s="6">
        <v>0</v>
      </c>
      <c r="I215" s="6">
        <v>0</v>
      </c>
    </row>
    <row r="216" spans="1:16">
      <c r="D216">
        <v>4</v>
      </c>
      <c r="E216" t="s">
        <v>15</v>
      </c>
      <c r="F216" s="6">
        <v>5</v>
      </c>
    </row>
    <row r="217" spans="1:16">
      <c r="D217">
        <v>7</v>
      </c>
      <c r="E217" t="s">
        <v>5</v>
      </c>
      <c r="F217" s="6">
        <v>185</v>
      </c>
      <c r="G217" s="6">
        <v>410</v>
      </c>
      <c r="H217" s="6">
        <v>175</v>
      </c>
      <c r="I217" s="6">
        <v>500</v>
      </c>
    </row>
    <row r="218" spans="1:16">
      <c r="D218">
        <v>7</v>
      </c>
      <c r="E218" t="s">
        <v>5</v>
      </c>
      <c r="F218" s="6">
        <v>205</v>
      </c>
      <c r="G218" s="6">
        <v>830</v>
      </c>
      <c r="H218" s="6">
        <v>195</v>
      </c>
      <c r="I218" s="6">
        <f>G218+100</f>
        <v>930</v>
      </c>
    </row>
    <row r="219" spans="1:16">
      <c r="D219">
        <v>7</v>
      </c>
      <c r="E219" t="s">
        <v>5</v>
      </c>
      <c r="F219" s="6">
        <v>165</v>
      </c>
      <c r="G219" s="6">
        <f>G218</f>
        <v>830</v>
      </c>
      <c r="H219" s="6">
        <v>155</v>
      </c>
      <c r="I219" s="6">
        <f>I218</f>
        <v>930</v>
      </c>
    </row>
    <row r="220" spans="1:16">
      <c r="D220">
        <v>7</v>
      </c>
      <c r="E220" t="s">
        <v>5</v>
      </c>
      <c r="F220" s="6">
        <v>485</v>
      </c>
      <c r="G220" s="6">
        <v>410</v>
      </c>
      <c r="H220" s="6">
        <v>475</v>
      </c>
      <c r="I220" s="6">
        <v>500</v>
      </c>
    </row>
    <row r="221" spans="1:16">
      <c r="D221">
        <v>7</v>
      </c>
      <c r="E221" t="s">
        <v>5</v>
      </c>
      <c r="F221" s="6">
        <v>505</v>
      </c>
      <c r="G221" s="6">
        <v>830</v>
      </c>
      <c r="H221" s="6">
        <v>495</v>
      </c>
      <c r="I221" s="6">
        <f>G221+100</f>
        <v>930</v>
      </c>
    </row>
    <row r="222" spans="1:16">
      <c r="D222">
        <v>7</v>
      </c>
      <c r="E222" t="s">
        <v>5</v>
      </c>
      <c r="F222" s="6">
        <v>465</v>
      </c>
      <c r="G222" s="6">
        <f>G221</f>
        <v>830</v>
      </c>
      <c r="H222" s="6">
        <v>455</v>
      </c>
      <c r="I222" s="6">
        <f>I221</f>
        <v>930</v>
      </c>
    </row>
    <row r="225" spans="1:58">
      <c r="A225" s="48" t="s">
        <v>383</v>
      </c>
      <c r="B225" s="1" t="s">
        <v>48</v>
      </c>
      <c r="D225" t="s">
        <v>449</v>
      </c>
      <c r="E225">
        <v>52695</v>
      </c>
      <c r="F225" s="6">
        <v>39622</v>
      </c>
      <c r="G225" s="6">
        <v>0</v>
      </c>
      <c r="H225" s="6">
        <v>0</v>
      </c>
      <c r="I225" s="6">
        <v>0</v>
      </c>
      <c r="J225" s="6">
        <v>1220</v>
      </c>
      <c r="K225" s="6">
        <v>250</v>
      </c>
      <c r="L225" s="6">
        <v>192</v>
      </c>
      <c r="M225" s="6">
        <v>0</v>
      </c>
      <c r="N225" s="6">
        <v>0</v>
      </c>
      <c r="O225" s="6" t="e">
        <f ca="1">checksummeint(G225,H225,I225,J225,K225,L225,M225,N225)</f>
        <v>#NAME?</v>
      </c>
    </row>
    <row r="226" spans="1:58">
      <c r="D226">
        <v>28</v>
      </c>
      <c r="E226" t="s">
        <v>12</v>
      </c>
      <c r="F226" s="6">
        <v>36</v>
      </c>
      <c r="G226" s="6">
        <v>0</v>
      </c>
      <c r="H226" s="6">
        <v>0</v>
      </c>
      <c r="I226" s="6">
        <v>0</v>
      </c>
      <c r="J226" s="6">
        <v>400</v>
      </c>
      <c r="K226" s="6">
        <v>0</v>
      </c>
      <c r="L226" s="6">
        <v>0</v>
      </c>
      <c r="M226" s="6">
        <v>0</v>
      </c>
      <c r="N226" s="6">
        <v>0</v>
      </c>
      <c r="O226" s="6" t="s">
        <v>19</v>
      </c>
    </row>
    <row r="227" spans="1:58">
      <c r="D227">
        <v>4</v>
      </c>
      <c r="E227" t="s">
        <v>15</v>
      </c>
      <c r="F227" s="6">
        <v>0</v>
      </c>
    </row>
    <row r="228" spans="1:58">
      <c r="D228">
        <v>8</v>
      </c>
      <c r="E228" t="s">
        <v>14</v>
      </c>
      <c r="F228" s="6">
        <v>0</v>
      </c>
      <c r="G228" s="6">
        <v>2</v>
      </c>
      <c r="H228" s="6">
        <v>0</v>
      </c>
      <c r="I228" s="6">
        <v>0</v>
      </c>
      <c r="J228" s="6">
        <v>0</v>
      </c>
    </row>
    <row r="229" spans="1:58">
      <c r="D229">
        <v>4</v>
      </c>
      <c r="E229" t="s">
        <v>15</v>
      </c>
      <c r="F229" s="6">
        <v>1</v>
      </c>
    </row>
    <row r="230" spans="1:58">
      <c r="D230">
        <v>5</v>
      </c>
      <c r="E230" s="48" t="s">
        <v>59</v>
      </c>
      <c r="F230" s="6">
        <v>1</v>
      </c>
      <c r="G230" s="6">
        <v>0</v>
      </c>
    </row>
    <row r="231" spans="1:58">
      <c r="D231">
        <v>7</v>
      </c>
      <c r="E231" t="s">
        <v>11</v>
      </c>
      <c r="F231" s="6">
        <v>0</v>
      </c>
      <c r="G231" s="6">
        <f>255*256+192</f>
        <v>65472</v>
      </c>
      <c r="H231" s="6">
        <v>192</v>
      </c>
      <c r="I231" s="6">
        <v>0</v>
      </c>
    </row>
    <row r="232" spans="1:58">
      <c r="D232">
        <v>4</v>
      </c>
      <c r="E232" t="s">
        <v>15</v>
      </c>
      <c r="F232" s="6">
        <v>2</v>
      </c>
    </row>
    <row r="233" spans="1:58">
      <c r="D233">
        <v>48</v>
      </c>
      <c r="E233" t="s">
        <v>4</v>
      </c>
      <c r="F233" s="6">
        <v>22</v>
      </c>
      <c r="G233" s="6">
        <v>50</v>
      </c>
      <c r="H233" s="6">
        <v>200</v>
      </c>
      <c r="I233" s="6">
        <v>50</v>
      </c>
      <c r="J233" s="6">
        <v>185</v>
      </c>
      <c r="K233" s="6">
        <v>75</v>
      </c>
      <c r="L233" s="6">
        <v>185</v>
      </c>
      <c r="M233" s="6">
        <v>75</v>
      </c>
      <c r="N233" s="6">
        <v>170</v>
      </c>
      <c r="O233" s="6">
        <v>111</v>
      </c>
      <c r="P233">
        <v>170</v>
      </c>
      <c r="Q233">
        <v>111</v>
      </c>
      <c r="R233">
        <v>155</v>
      </c>
      <c r="S233">
        <v>136</v>
      </c>
      <c r="T233">
        <v>155</v>
      </c>
      <c r="U233">
        <v>136</v>
      </c>
      <c r="V233">
        <v>140</v>
      </c>
      <c r="W233">
        <v>159</v>
      </c>
      <c r="X233">
        <v>140</v>
      </c>
      <c r="Y233">
        <v>159</v>
      </c>
      <c r="Z233">
        <v>125</v>
      </c>
      <c r="AA233">
        <v>245</v>
      </c>
      <c r="AB233">
        <v>125</v>
      </c>
      <c r="AC233">
        <v>245</v>
      </c>
      <c r="AD233">
        <v>110</v>
      </c>
      <c r="AE233">
        <v>266</v>
      </c>
      <c r="AF233">
        <v>110</v>
      </c>
      <c r="AG233">
        <v>266</v>
      </c>
      <c r="AH233">
        <v>95</v>
      </c>
      <c r="AI233">
        <v>312</v>
      </c>
      <c r="AJ233">
        <v>95</v>
      </c>
      <c r="AK233">
        <v>312</v>
      </c>
      <c r="AL233">
        <v>80</v>
      </c>
      <c r="AM233">
        <v>336</v>
      </c>
      <c r="AN233">
        <v>80</v>
      </c>
      <c r="AO233">
        <v>336</v>
      </c>
      <c r="AP233">
        <v>65</v>
      </c>
      <c r="AQ233">
        <v>475</v>
      </c>
      <c r="AR233">
        <v>65</v>
      </c>
      <c r="AS233">
        <v>475</v>
      </c>
      <c r="AT233">
        <v>50</v>
      </c>
      <c r="AU233">
        <v>550</v>
      </c>
      <c r="AV233">
        <v>50</v>
      </c>
      <c r="AW233">
        <v>550</v>
      </c>
      <c r="AX233">
        <v>200</v>
      </c>
      <c r="AY233">
        <v>7833</v>
      </c>
      <c r="AZ233">
        <v>700</v>
      </c>
      <c r="BA233">
        <v>10500</v>
      </c>
      <c r="BB233">
        <v>700</v>
      </c>
      <c r="BC233">
        <v>10500</v>
      </c>
      <c r="BD233">
        <v>2700</v>
      </c>
      <c r="BE233">
        <v>500</v>
      </c>
      <c r="BF233">
        <v>2700</v>
      </c>
    </row>
    <row r="234" spans="1:58">
      <c r="D234">
        <v>48</v>
      </c>
      <c r="E234" t="s">
        <v>4</v>
      </c>
      <c r="F234" s="6">
        <v>22</v>
      </c>
      <c r="G234" s="6">
        <v>650</v>
      </c>
      <c r="H234" s="6">
        <v>200</v>
      </c>
      <c r="I234" s="6">
        <v>650</v>
      </c>
      <c r="J234" s="6">
        <v>185</v>
      </c>
      <c r="K234" s="6">
        <v>700</v>
      </c>
      <c r="L234" s="6">
        <v>185</v>
      </c>
      <c r="M234" s="6">
        <v>700</v>
      </c>
      <c r="N234" s="6">
        <v>170</v>
      </c>
      <c r="O234" s="6">
        <v>701</v>
      </c>
      <c r="P234">
        <v>170</v>
      </c>
      <c r="Q234">
        <v>701</v>
      </c>
      <c r="R234">
        <v>155</v>
      </c>
      <c r="S234">
        <v>723</v>
      </c>
      <c r="T234">
        <v>155</v>
      </c>
      <c r="U234">
        <v>723</v>
      </c>
      <c r="V234">
        <v>140</v>
      </c>
      <c r="W234">
        <v>744</v>
      </c>
      <c r="X234">
        <v>140</v>
      </c>
      <c r="Y234">
        <v>744</v>
      </c>
      <c r="Z234">
        <v>125</v>
      </c>
      <c r="AA234">
        <v>784</v>
      </c>
      <c r="AB234">
        <v>125</v>
      </c>
      <c r="AC234">
        <v>784</v>
      </c>
      <c r="AD234">
        <v>110</v>
      </c>
      <c r="AE234">
        <v>828</v>
      </c>
      <c r="AF234">
        <v>110</v>
      </c>
      <c r="AG234">
        <v>828</v>
      </c>
      <c r="AH234">
        <v>95</v>
      </c>
      <c r="AI234">
        <v>848</v>
      </c>
      <c r="AJ234">
        <v>95</v>
      </c>
      <c r="AK234">
        <v>848</v>
      </c>
      <c r="AL234">
        <v>80</v>
      </c>
      <c r="AM234">
        <v>922</v>
      </c>
      <c r="AN234">
        <v>80</v>
      </c>
      <c r="AO234">
        <v>922</v>
      </c>
      <c r="AP234">
        <v>65</v>
      </c>
      <c r="AQ234">
        <v>1075</v>
      </c>
      <c r="AR234">
        <v>65</v>
      </c>
      <c r="AS234">
        <v>1075</v>
      </c>
      <c r="AT234">
        <v>50</v>
      </c>
      <c r="AU234">
        <v>1150</v>
      </c>
      <c r="AV234">
        <v>50</v>
      </c>
      <c r="AW234">
        <v>1150</v>
      </c>
      <c r="AX234">
        <v>200</v>
      </c>
    </row>
    <row r="235" spans="1:58">
      <c r="D235">
        <v>7</v>
      </c>
      <c r="E235" t="s">
        <v>11</v>
      </c>
      <c r="F235" s="6">
        <v>0</v>
      </c>
      <c r="G235" s="6">
        <v>0</v>
      </c>
      <c r="H235" s="6">
        <v>0</v>
      </c>
      <c r="I235" s="6">
        <v>0</v>
      </c>
    </row>
    <row r="236" spans="1:58">
      <c r="D236">
        <v>4</v>
      </c>
      <c r="E236" t="s">
        <v>15</v>
      </c>
      <c r="F236" s="6">
        <v>3</v>
      </c>
    </row>
    <row r="237" spans="1:58">
      <c r="D237" s="2">
        <v>18</v>
      </c>
      <c r="E237" s="2" t="s">
        <v>111</v>
      </c>
      <c r="F237" s="6">
        <v>20</v>
      </c>
      <c r="G237" s="6">
        <f>B240-10</f>
        <v>40</v>
      </c>
      <c r="H237" s="6">
        <f>B241</f>
        <v>200</v>
      </c>
      <c r="I237" s="6">
        <f>C240+40</f>
        <v>590</v>
      </c>
      <c r="J237" s="6">
        <f>H237</f>
        <v>200</v>
      </c>
    </row>
    <row r="238" spans="1:58">
      <c r="A238" t="s">
        <v>45</v>
      </c>
      <c r="D238" s="2">
        <v>18</v>
      </c>
      <c r="E238" s="2" t="s">
        <v>111</v>
      </c>
      <c r="F238" s="6">
        <v>20</v>
      </c>
      <c r="G238" s="6">
        <f>B240</f>
        <v>50</v>
      </c>
      <c r="H238" s="6">
        <f>B241+10</f>
        <v>210</v>
      </c>
      <c r="I238" s="6">
        <f>G238</f>
        <v>50</v>
      </c>
      <c r="J238" s="6">
        <f>C241-40</f>
        <v>10</v>
      </c>
    </row>
    <row r="239" spans="1:58">
      <c r="B239" t="s">
        <v>40</v>
      </c>
      <c r="C239" t="s">
        <v>41</v>
      </c>
      <c r="D239">
        <f>ROUNDUP(6+F239/2,0)</f>
        <v>17</v>
      </c>
      <c r="E239" t="s">
        <v>6</v>
      </c>
      <c r="F239" s="6">
        <f>LEN(G239)</f>
        <v>22</v>
      </c>
      <c r="G239" s="6" t="s">
        <v>47</v>
      </c>
      <c r="H239" s="6">
        <f>C241-40</f>
        <v>10</v>
      </c>
      <c r="I239" s="6">
        <f>B240+15</f>
        <v>65</v>
      </c>
    </row>
    <row r="240" spans="1:58">
      <c r="A240" t="s">
        <v>2</v>
      </c>
      <c r="B240">
        <v>50</v>
      </c>
      <c r="C240">
        <f>B240+500</f>
        <v>550</v>
      </c>
      <c r="D240">
        <f>ROUNDUP(6+F240/2,0)</f>
        <v>7</v>
      </c>
      <c r="E240" t="s">
        <v>6</v>
      </c>
      <c r="F240" s="6">
        <f>LEN(G240)</f>
        <v>1</v>
      </c>
      <c r="G240" s="6" t="s">
        <v>22</v>
      </c>
      <c r="H240" s="6">
        <f>B241-20</f>
        <v>180</v>
      </c>
      <c r="I240" s="6">
        <f>C240+45</f>
        <v>595</v>
      </c>
    </row>
    <row r="241" spans="1:11">
      <c r="A241" t="s">
        <v>3</v>
      </c>
      <c r="B241">
        <v>200</v>
      </c>
      <c r="C241">
        <f>B241-150</f>
        <v>50</v>
      </c>
      <c r="D241">
        <v>8</v>
      </c>
      <c r="E241" t="s">
        <v>1</v>
      </c>
      <c r="F241" s="6">
        <v>2</v>
      </c>
      <c r="G241" s="6">
        <f>B240-10</f>
        <v>40</v>
      </c>
      <c r="H241" s="6">
        <f>C241</f>
        <v>50</v>
      </c>
      <c r="I241" s="6">
        <f>B240+10</f>
        <v>60</v>
      </c>
      <c r="J241" s="6">
        <f>H241</f>
        <v>50</v>
      </c>
    </row>
    <row r="242" spans="1:11">
      <c r="A242" t="s">
        <v>42</v>
      </c>
      <c r="B242">
        <v>10</v>
      </c>
      <c r="D242">
        <v>8</v>
      </c>
      <c r="E242" t="s">
        <v>1</v>
      </c>
      <c r="F242" s="6">
        <v>2</v>
      </c>
      <c r="G242" s="6">
        <f>C240</f>
        <v>550</v>
      </c>
      <c r="H242" s="6">
        <f>B241-10</f>
        <v>190</v>
      </c>
      <c r="I242" s="6">
        <f>G242</f>
        <v>550</v>
      </c>
      <c r="J242" s="6">
        <f>B241+10</f>
        <v>210</v>
      </c>
    </row>
    <row r="243" spans="1:11">
      <c r="A243" t="s">
        <v>44</v>
      </c>
      <c r="B243">
        <v>2</v>
      </c>
      <c r="D243">
        <f>ROUNDUP(6+F243/2,0)</f>
        <v>7</v>
      </c>
      <c r="E243" t="s">
        <v>6</v>
      </c>
      <c r="F243" s="6">
        <f>LEN(G243)</f>
        <v>2</v>
      </c>
      <c r="G243" s="6">
        <v>10</v>
      </c>
      <c r="H243" s="6">
        <v>35</v>
      </c>
      <c r="I243" s="6">
        <f>B240-50</f>
        <v>0</v>
      </c>
    </row>
    <row r="244" spans="1:11">
      <c r="A244" t="s">
        <v>43</v>
      </c>
      <c r="B244">
        <v>0.5</v>
      </c>
      <c r="D244">
        <f>ROUNDUP(6+F244/2,0)</f>
        <v>10</v>
      </c>
      <c r="E244" t="s">
        <v>6</v>
      </c>
      <c r="F244" s="6">
        <f>LEN(G244)</f>
        <v>7</v>
      </c>
      <c r="G244" s="6" t="s">
        <v>46</v>
      </c>
      <c r="H244" s="6">
        <f>B241+10</f>
        <v>210</v>
      </c>
      <c r="I244" s="6">
        <f>C240-50</f>
        <v>500</v>
      </c>
    </row>
    <row r="245" spans="1:11">
      <c r="A245" t="s">
        <v>24</v>
      </c>
      <c r="B245">
        <f>B243*B242</f>
        <v>20</v>
      </c>
      <c r="E245" s="6" t="s">
        <v>517</v>
      </c>
      <c r="F245" s="6" t="s">
        <v>533</v>
      </c>
      <c r="G245" s="31">
        <f>C240-150</f>
        <v>400</v>
      </c>
      <c r="H245" s="6">
        <f>C241+20</f>
        <v>70</v>
      </c>
      <c r="I245" s="6">
        <f>H245+40</f>
        <v>110</v>
      </c>
      <c r="K245" s="24"/>
    </row>
    <row r="246" spans="1:11">
      <c r="D246" s="2">
        <v>18</v>
      </c>
      <c r="E246" s="2" t="s">
        <v>111</v>
      </c>
      <c r="F246" s="6">
        <v>20</v>
      </c>
      <c r="G246" s="6">
        <f>B249-10</f>
        <v>640</v>
      </c>
      <c r="H246" s="6">
        <f>B250</f>
        <v>200</v>
      </c>
      <c r="I246" s="6">
        <f>C249+40</f>
        <v>1190</v>
      </c>
      <c r="J246" s="6">
        <f>H246</f>
        <v>200</v>
      </c>
    </row>
    <row r="247" spans="1:11">
      <c r="A247" t="s">
        <v>45</v>
      </c>
      <c r="D247" s="2">
        <v>18</v>
      </c>
      <c r="E247" s="2" t="s">
        <v>111</v>
      </c>
      <c r="F247" s="6">
        <v>20</v>
      </c>
      <c r="G247" s="6">
        <f>B249</f>
        <v>650</v>
      </c>
      <c r="H247" s="6">
        <f>B250+10</f>
        <v>210</v>
      </c>
      <c r="I247" s="6">
        <f>G247</f>
        <v>650</v>
      </c>
      <c r="J247" s="6">
        <f>C250-40</f>
        <v>10</v>
      </c>
    </row>
    <row r="248" spans="1:11">
      <c r="B248" t="s">
        <v>40</v>
      </c>
      <c r="C248" t="s">
        <v>41</v>
      </c>
      <c r="D248">
        <f>ROUNDUP(6+F248/2,0)</f>
        <v>17</v>
      </c>
      <c r="E248" t="s">
        <v>6</v>
      </c>
      <c r="F248" s="6">
        <f>LEN(G248)</f>
        <v>22</v>
      </c>
      <c r="G248" s="6" t="s">
        <v>47</v>
      </c>
      <c r="H248" s="6">
        <f>C250-40</f>
        <v>10</v>
      </c>
      <c r="I248" s="6">
        <f>B249+15</f>
        <v>665</v>
      </c>
    </row>
    <row r="249" spans="1:11">
      <c r="A249" t="s">
        <v>2</v>
      </c>
      <c r="B249">
        <v>650</v>
      </c>
      <c r="C249">
        <f>B249+500</f>
        <v>1150</v>
      </c>
      <c r="D249">
        <f>ROUNDUP(6+F249/2,0)</f>
        <v>7</v>
      </c>
      <c r="E249" t="s">
        <v>6</v>
      </c>
      <c r="F249" s="6">
        <f>LEN(G249)</f>
        <v>1</v>
      </c>
      <c r="G249" s="6" t="s">
        <v>22</v>
      </c>
      <c r="H249" s="6">
        <f>B250-20</f>
        <v>180</v>
      </c>
      <c r="I249" s="6">
        <f>C249+45</f>
        <v>1195</v>
      </c>
    </row>
    <row r="250" spans="1:11">
      <c r="A250" t="s">
        <v>3</v>
      </c>
      <c r="B250">
        <v>200</v>
      </c>
      <c r="C250">
        <f>B250-150</f>
        <v>50</v>
      </c>
      <c r="D250">
        <v>8</v>
      </c>
      <c r="E250" t="s">
        <v>1</v>
      </c>
      <c r="F250" s="6">
        <v>2</v>
      </c>
      <c r="G250" s="6">
        <f>B249-10</f>
        <v>640</v>
      </c>
      <c r="H250" s="6">
        <f>C250</f>
        <v>50</v>
      </c>
      <c r="I250" s="6">
        <f>B249+10</f>
        <v>660</v>
      </c>
      <c r="J250" s="6">
        <f>H250</f>
        <v>50</v>
      </c>
    </row>
    <row r="251" spans="1:11">
      <c r="A251" t="s">
        <v>42</v>
      </c>
      <c r="B251">
        <v>10</v>
      </c>
      <c r="D251">
        <v>8</v>
      </c>
      <c r="E251" t="s">
        <v>1</v>
      </c>
      <c r="F251" s="6">
        <v>2</v>
      </c>
      <c r="G251" s="6">
        <f>C249</f>
        <v>1150</v>
      </c>
      <c r="H251" s="6">
        <f>B250-10</f>
        <v>190</v>
      </c>
      <c r="I251" s="6">
        <f>G251</f>
        <v>1150</v>
      </c>
      <c r="J251" s="6">
        <f>B250+10</f>
        <v>210</v>
      </c>
    </row>
    <row r="252" spans="1:11">
      <c r="A252" t="s">
        <v>44</v>
      </c>
      <c r="B252">
        <v>2</v>
      </c>
      <c r="D252">
        <f>ROUNDUP(6+F252/2,0)</f>
        <v>7</v>
      </c>
      <c r="E252" t="s">
        <v>6</v>
      </c>
      <c r="F252" s="6">
        <f>LEN(G252)</f>
        <v>2</v>
      </c>
      <c r="G252" s="6">
        <v>10</v>
      </c>
      <c r="H252" s="6">
        <v>35</v>
      </c>
      <c r="I252" s="6">
        <f>B249-50</f>
        <v>600</v>
      </c>
    </row>
    <row r="253" spans="1:11">
      <c r="A253" t="s">
        <v>43</v>
      </c>
      <c r="B253">
        <v>0.5</v>
      </c>
      <c r="D253">
        <f>ROUNDUP(6+F253/2,0)</f>
        <v>10</v>
      </c>
      <c r="E253" t="s">
        <v>6</v>
      </c>
      <c r="F253" s="6">
        <f>LEN(G253)</f>
        <v>7</v>
      </c>
      <c r="G253" s="6" t="s">
        <v>46</v>
      </c>
      <c r="H253" s="6">
        <f>B250+10</f>
        <v>210</v>
      </c>
      <c r="I253" s="6">
        <f>C249-50</f>
        <v>1100</v>
      </c>
    </row>
    <row r="254" spans="1:11">
      <c r="A254" t="s">
        <v>24</v>
      </c>
      <c r="B254">
        <f>B252*B251</f>
        <v>20</v>
      </c>
      <c r="E254" s="6" t="s">
        <v>517</v>
      </c>
      <c r="F254" s="6" t="s">
        <v>534</v>
      </c>
      <c r="G254" s="31">
        <f>C249-150</f>
        <v>1000</v>
      </c>
      <c r="H254" s="6">
        <f>C250+20</f>
        <v>70</v>
      </c>
      <c r="I254" s="6">
        <f>H254+40</f>
        <v>110</v>
      </c>
      <c r="J254" s="6">
        <f>I254+40</f>
        <v>150</v>
      </c>
      <c r="K254" s="24"/>
    </row>
    <row r="257" spans="1:15">
      <c r="A257" s="48" t="s">
        <v>383</v>
      </c>
      <c r="B257" s="1" t="s">
        <v>789</v>
      </c>
      <c r="D257" t="s">
        <v>449</v>
      </c>
      <c r="E257">
        <v>52695</v>
      </c>
      <c r="F257" s="6">
        <v>39622</v>
      </c>
      <c r="G257" s="6">
        <v>0</v>
      </c>
      <c r="H257" s="6">
        <v>0</v>
      </c>
      <c r="I257" s="6">
        <v>0</v>
      </c>
      <c r="J257" s="6">
        <v>610</v>
      </c>
      <c r="K257" s="6">
        <v>250</v>
      </c>
      <c r="L257" s="6">
        <v>192</v>
      </c>
      <c r="M257" s="6">
        <v>0</v>
      </c>
      <c r="N257" s="6">
        <v>0</v>
      </c>
      <c r="O257" s="6" t="e">
        <f ca="1">checksummeint(G257,H257,I257,J257,K257,L257,M257,N257)</f>
        <v>#NAME?</v>
      </c>
    </row>
    <row r="258" spans="1:15">
      <c r="D258">
        <v>28</v>
      </c>
      <c r="E258" t="s">
        <v>12</v>
      </c>
      <c r="F258" s="6">
        <v>36</v>
      </c>
      <c r="G258" s="6">
        <v>0</v>
      </c>
      <c r="H258" s="6">
        <v>0</v>
      </c>
      <c r="I258" s="6">
        <v>0</v>
      </c>
      <c r="J258" s="6">
        <v>400</v>
      </c>
      <c r="K258" s="6">
        <v>0</v>
      </c>
      <c r="L258" s="6">
        <v>0</v>
      </c>
      <c r="M258" s="6">
        <v>0</v>
      </c>
      <c r="N258" s="6">
        <v>0</v>
      </c>
      <c r="O258" s="6" t="s">
        <v>19</v>
      </c>
    </row>
    <row r="259" spans="1:15">
      <c r="D259">
        <v>4</v>
      </c>
      <c r="E259" t="s">
        <v>15</v>
      </c>
      <c r="F259" s="6">
        <v>0</v>
      </c>
    </row>
    <row r="260" spans="1:15">
      <c r="D260">
        <v>8</v>
      </c>
      <c r="E260" t="s">
        <v>14</v>
      </c>
      <c r="F260" s="6">
        <v>0</v>
      </c>
      <c r="G260" s="6">
        <v>2</v>
      </c>
      <c r="H260" s="6">
        <v>0</v>
      </c>
      <c r="I260" s="6">
        <v>0</v>
      </c>
      <c r="J260" s="6">
        <v>0</v>
      </c>
    </row>
    <row r="261" spans="1:15">
      <c r="D261">
        <v>4</v>
      </c>
      <c r="E261" t="s">
        <v>15</v>
      </c>
      <c r="F261" s="6">
        <v>1</v>
      </c>
    </row>
    <row r="262" spans="1:15">
      <c r="D262">
        <v>7</v>
      </c>
      <c r="E262" t="s">
        <v>11</v>
      </c>
      <c r="F262" s="6">
        <v>0</v>
      </c>
      <c r="G262" s="6">
        <v>0</v>
      </c>
      <c r="H262" s="6">
        <v>0</v>
      </c>
      <c r="I262" s="6">
        <v>0</v>
      </c>
    </row>
    <row r="263" spans="1:15">
      <c r="D263">
        <v>4</v>
      </c>
      <c r="E263" t="s">
        <v>15</v>
      </c>
      <c r="F263" s="6">
        <v>2</v>
      </c>
    </row>
    <row r="264" spans="1:15">
      <c r="D264">
        <v>5</v>
      </c>
      <c r="E264" s="48" t="s">
        <v>59</v>
      </c>
      <c r="F264" s="6">
        <v>1</v>
      </c>
      <c r="G264" s="6">
        <v>0</v>
      </c>
    </row>
    <row r="265" spans="1:15" s="48" customFormat="1">
      <c r="D265" s="49">
        <v>18</v>
      </c>
      <c r="E265" s="49" t="s">
        <v>111</v>
      </c>
      <c r="F265" s="49">
        <v>20</v>
      </c>
      <c r="G265" s="49">
        <v>40</v>
      </c>
      <c r="H265" s="49">
        <v>200</v>
      </c>
      <c r="I265" s="49">
        <v>580</v>
      </c>
      <c r="J265" s="49">
        <v>200</v>
      </c>
      <c r="K265" s="6"/>
      <c r="L265" s="6"/>
      <c r="M265" s="6"/>
      <c r="N265" s="6"/>
      <c r="O265" s="6"/>
    </row>
    <row r="266" spans="1:15" s="48" customFormat="1">
      <c r="D266" s="49">
        <v>18</v>
      </c>
      <c r="E266" s="49" t="s">
        <v>111</v>
      </c>
      <c r="F266" s="49">
        <v>20</v>
      </c>
      <c r="G266" s="49">
        <v>50</v>
      </c>
      <c r="H266" s="49">
        <v>210</v>
      </c>
      <c r="I266" s="49">
        <v>50</v>
      </c>
      <c r="J266" s="49">
        <v>10</v>
      </c>
      <c r="K266" s="6"/>
      <c r="L266" s="6"/>
      <c r="M266" s="6"/>
      <c r="N266" s="6"/>
      <c r="O266" s="6"/>
    </row>
    <row r="267" spans="1:15">
      <c r="D267">
        <f>ROUNDUP(6+F267/2,0)</f>
        <v>8</v>
      </c>
      <c r="E267" t="s">
        <v>6</v>
      </c>
      <c r="F267" s="6">
        <f>LEN(G267)</f>
        <v>4</v>
      </c>
      <c r="G267" s="6" t="s">
        <v>49</v>
      </c>
      <c r="H267" s="6">
        <f>J266</f>
        <v>10</v>
      </c>
      <c r="I267" s="6">
        <f>I266+15</f>
        <v>65</v>
      </c>
    </row>
    <row r="268" spans="1:15">
      <c r="D268">
        <f>ROUNDUP(6+F268/2,0)</f>
        <v>7</v>
      </c>
      <c r="E268" t="s">
        <v>6</v>
      </c>
      <c r="F268" s="6">
        <f>LEN(G268)</f>
        <v>1</v>
      </c>
      <c r="G268" s="6" t="s">
        <v>43</v>
      </c>
      <c r="H268" s="6">
        <f>H265-15</f>
        <v>185</v>
      </c>
      <c r="I268" s="6">
        <f>I265+5</f>
        <v>585</v>
      </c>
    </row>
    <row r="269" spans="1:15">
      <c r="D269">
        <v>8</v>
      </c>
      <c r="E269" t="s">
        <v>1</v>
      </c>
      <c r="F269" s="6">
        <v>2</v>
      </c>
      <c r="G269" s="6">
        <v>40</v>
      </c>
      <c r="H269" s="6">
        <v>50</v>
      </c>
      <c r="I269" s="6">
        <v>60</v>
      </c>
      <c r="J269" s="6">
        <f>H269</f>
        <v>50</v>
      </c>
    </row>
    <row r="270" spans="1:15">
      <c r="D270">
        <v>8</v>
      </c>
      <c r="E270" t="s">
        <v>1</v>
      </c>
      <c r="F270" s="6">
        <v>2</v>
      </c>
      <c r="G270" s="6">
        <v>540</v>
      </c>
      <c r="H270" s="6">
        <v>190</v>
      </c>
      <c r="I270" s="6">
        <f>G270</f>
        <v>540</v>
      </c>
      <c r="J270" s="6">
        <v>210</v>
      </c>
    </row>
    <row r="271" spans="1:15">
      <c r="D271">
        <f>ROUNDUP(6+F271/2,0)</f>
        <v>8</v>
      </c>
      <c r="E271" t="s">
        <v>6</v>
      </c>
      <c r="F271" s="6">
        <f>LEN(G271)</f>
        <v>3</v>
      </c>
      <c r="G271" s="32" t="s">
        <v>50</v>
      </c>
      <c r="H271" s="6">
        <v>35</v>
      </c>
      <c r="I271" s="6">
        <v>5</v>
      </c>
    </row>
    <row r="272" spans="1:15">
      <c r="D272">
        <f>ROUNDUP(6+F272/2,0)</f>
        <v>8</v>
      </c>
      <c r="E272" t="s">
        <v>6</v>
      </c>
      <c r="F272" s="6">
        <f>LEN(G272)</f>
        <v>3</v>
      </c>
      <c r="G272" s="6">
        <v>0.5</v>
      </c>
      <c r="H272" s="6">
        <v>185</v>
      </c>
      <c r="I272" s="6">
        <v>5</v>
      </c>
    </row>
    <row r="273" spans="1:48">
      <c r="D273">
        <f>ROUNDUP(6+F273/2,0)</f>
        <v>7</v>
      </c>
      <c r="E273" t="s">
        <v>6</v>
      </c>
      <c r="F273" s="6">
        <f>LEN(G273)</f>
        <v>1</v>
      </c>
      <c r="G273" s="6">
        <v>0</v>
      </c>
      <c r="H273" s="6">
        <v>215</v>
      </c>
      <c r="I273" s="6">
        <v>45</v>
      </c>
    </row>
    <row r="274" spans="1:48">
      <c r="D274">
        <f>ROUNDUP(6+F274/2,0)</f>
        <v>7</v>
      </c>
      <c r="E274" t="s">
        <v>6</v>
      </c>
      <c r="F274" s="6">
        <f>LEN(G274)</f>
        <v>1</v>
      </c>
      <c r="G274" s="6">
        <v>1</v>
      </c>
      <c r="H274" s="6">
        <v>215</v>
      </c>
      <c r="I274" s="6">
        <v>535</v>
      </c>
    </row>
    <row r="275" spans="1:48">
      <c r="D275">
        <v>46</v>
      </c>
      <c r="E275" t="s">
        <v>1</v>
      </c>
      <c r="F275" s="6">
        <v>21</v>
      </c>
      <c r="G275" s="31">
        <v>50</v>
      </c>
      <c r="H275" s="6">
        <v>200</v>
      </c>
      <c r="I275" s="31">
        <v>75</v>
      </c>
      <c r="J275" s="6">
        <v>199</v>
      </c>
      <c r="K275" s="6">
        <v>100</v>
      </c>
      <c r="L275" s="6">
        <v>198</v>
      </c>
      <c r="M275" s="6">
        <v>125</v>
      </c>
      <c r="N275" s="6">
        <v>196</v>
      </c>
      <c r="O275" s="6">
        <v>150</v>
      </c>
      <c r="P275">
        <v>194</v>
      </c>
      <c r="Q275">
        <v>175</v>
      </c>
      <c r="R275">
        <v>190</v>
      </c>
      <c r="S275">
        <v>200</v>
      </c>
      <c r="T275">
        <v>186</v>
      </c>
      <c r="U275">
        <v>225</v>
      </c>
      <c r="V275">
        <v>181</v>
      </c>
      <c r="W275">
        <v>250</v>
      </c>
      <c r="X275">
        <v>176</v>
      </c>
      <c r="Y275">
        <v>275</v>
      </c>
      <c r="Z275">
        <v>169</v>
      </c>
      <c r="AA275">
        <v>300</v>
      </c>
      <c r="AB275">
        <v>162</v>
      </c>
      <c r="AC275">
        <v>325</v>
      </c>
      <c r="AD275">
        <v>154</v>
      </c>
      <c r="AE275">
        <v>350</v>
      </c>
      <c r="AF275">
        <v>146</v>
      </c>
      <c r="AG275">
        <v>375</v>
      </c>
      <c r="AH275">
        <v>136</v>
      </c>
      <c r="AI275">
        <v>400</v>
      </c>
      <c r="AJ275">
        <v>126</v>
      </c>
      <c r="AK275">
        <v>425</v>
      </c>
      <c r="AL275">
        <v>115</v>
      </c>
      <c r="AM275">
        <v>450</v>
      </c>
      <c r="AN275">
        <v>104</v>
      </c>
      <c r="AO275">
        <v>475</v>
      </c>
      <c r="AP275">
        <v>91</v>
      </c>
      <c r="AQ275">
        <v>500</v>
      </c>
      <c r="AR275">
        <v>78</v>
      </c>
      <c r="AS275">
        <v>525</v>
      </c>
      <c r="AT275">
        <v>64</v>
      </c>
      <c r="AU275">
        <v>550</v>
      </c>
      <c r="AV275">
        <v>49</v>
      </c>
    </row>
    <row r="276" spans="1:48">
      <c r="D276">
        <f>ROUNDUP(6+F276/2,0)</f>
        <v>13</v>
      </c>
      <c r="E276" t="s">
        <v>6</v>
      </c>
      <c r="F276" s="6">
        <f>LEN(G276)</f>
        <v>13</v>
      </c>
      <c r="G276" s="6" t="s">
        <v>51</v>
      </c>
      <c r="H276" s="6">
        <v>50</v>
      </c>
      <c r="I276" s="6">
        <v>65</v>
      </c>
    </row>
    <row r="279" spans="1:48">
      <c r="A279" s="48" t="s">
        <v>383</v>
      </c>
      <c r="B279" s="1" t="s">
        <v>790</v>
      </c>
      <c r="D279" t="s">
        <v>449</v>
      </c>
      <c r="E279">
        <v>52695</v>
      </c>
      <c r="F279" s="6">
        <v>39622</v>
      </c>
      <c r="G279" s="6">
        <v>0</v>
      </c>
      <c r="H279" s="6">
        <v>0</v>
      </c>
      <c r="I279" s="6">
        <v>0</v>
      </c>
      <c r="J279" s="6">
        <v>1120</v>
      </c>
      <c r="K279" s="6">
        <v>250</v>
      </c>
      <c r="L279" s="6">
        <v>192</v>
      </c>
      <c r="M279" s="6">
        <v>0</v>
      </c>
      <c r="N279" s="6">
        <v>0</v>
      </c>
      <c r="O279" s="6" t="e">
        <f ca="1">checksummeint(G279,H279,I279,J279,K279,L279,M279,N279)</f>
        <v>#NAME?</v>
      </c>
    </row>
    <row r="280" spans="1:48">
      <c r="D280">
        <v>28</v>
      </c>
      <c r="E280" t="s">
        <v>12</v>
      </c>
      <c r="F280" s="6">
        <v>36</v>
      </c>
      <c r="G280" s="6">
        <v>0</v>
      </c>
      <c r="H280" s="6">
        <v>0</v>
      </c>
      <c r="I280" s="6">
        <v>0</v>
      </c>
      <c r="J280" s="6">
        <v>400</v>
      </c>
      <c r="K280" s="6">
        <v>0</v>
      </c>
      <c r="L280" s="6">
        <v>0</v>
      </c>
      <c r="M280" s="6">
        <v>0</v>
      </c>
      <c r="N280" s="6">
        <v>0</v>
      </c>
      <c r="O280" s="6" t="s">
        <v>19</v>
      </c>
    </row>
    <row r="281" spans="1:48">
      <c r="D281">
        <v>4</v>
      </c>
      <c r="E281" t="s">
        <v>15</v>
      </c>
      <c r="F281" s="6">
        <v>0</v>
      </c>
    </row>
    <row r="282" spans="1:48">
      <c r="D282">
        <v>8</v>
      </c>
      <c r="E282" t="s">
        <v>14</v>
      </c>
      <c r="F282" s="6">
        <v>0</v>
      </c>
      <c r="G282" s="6">
        <v>2</v>
      </c>
      <c r="H282" s="6">
        <v>0</v>
      </c>
      <c r="I282" s="6">
        <v>0</v>
      </c>
      <c r="J282" s="6">
        <v>0</v>
      </c>
    </row>
    <row r="283" spans="1:48">
      <c r="D283">
        <v>4</v>
      </c>
      <c r="E283" t="s">
        <v>15</v>
      </c>
      <c r="F283" s="6">
        <v>1</v>
      </c>
    </row>
    <row r="284" spans="1:48">
      <c r="D284">
        <v>7</v>
      </c>
      <c r="E284" t="s">
        <v>11</v>
      </c>
      <c r="F284" s="6">
        <v>0</v>
      </c>
      <c r="G284" s="6">
        <v>0</v>
      </c>
      <c r="H284" s="6">
        <v>0</v>
      </c>
      <c r="I284" s="6">
        <v>0</v>
      </c>
    </row>
    <row r="285" spans="1:48">
      <c r="D285">
        <v>4</v>
      </c>
      <c r="E285" t="s">
        <v>15</v>
      </c>
      <c r="F285" s="6">
        <v>2</v>
      </c>
    </row>
    <row r="286" spans="1:48">
      <c r="D286">
        <v>5</v>
      </c>
      <c r="E286" s="48" t="s">
        <v>59</v>
      </c>
      <c r="F286" s="6">
        <v>1</v>
      </c>
      <c r="G286" s="6">
        <v>0</v>
      </c>
    </row>
    <row r="287" spans="1:48" s="48" customFormat="1">
      <c r="D287" s="49">
        <v>18</v>
      </c>
      <c r="E287" s="49" t="s">
        <v>111</v>
      </c>
      <c r="F287" s="49">
        <v>20</v>
      </c>
      <c r="G287" s="49">
        <v>40</v>
      </c>
      <c r="H287" s="49">
        <v>200</v>
      </c>
      <c r="I287" s="49">
        <v>1090</v>
      </c>
      <c r="J287" s="49">
        <v>200</v>
      </c>
      <c r="K287" s="6"/>
      <c r="L287" s="6"/>
      <c r="M287" s="6"/>
      <c r="N287" s="6"/>
      <c r="O287" s="6"/>
    </row>
    <row r="288" spans="1:48" s="48" customFormat="1">
      <c r="D288" s="49">
        <v>18</v>
      </c>
      <c r="E288" s="49" t="s">
        <v>111</v>
      </c>
      <c r="F288" s="49">
        <v>20</v>
      </c>
      <c r="G288" s="49">
        <v>50</v>
      </c>
      <c r="H288" s="49">
        <v>210</v>
      </c>
      <c r="I288" s="49">
        <v>50</v>
      </c>
      <c r="J288" s="49">
        <v>10</v>
      </c>
      <c r="K288" s="6"/>
      <c r="L288" s="6"/>
      <c r="M288" s="6"/>
      <c r="N288" s="6"/>
      <c r="O288" s="6"/>
    </row>
    <row r="289" spans="4:108">
      <c r="D289">
        <f>ROUNDUP(6+F289/2,0)</f>
        <v>8</v>
      </c>
      <c r="E289" t="s">
        <v>6</v>
      </c>
      <c r="F289" s="6">
        <f>LEN(G289)</f>
        <v>3</v>
      </c>
      <c r="G289" s="6" t="s">
        <v>52</v>
      </c>
      <c r="H289" s="6">
        <f>J288</f>
        <v>10</v>
      </c>
      <c r="I289" s="6">
        <f>I288+15</f>
        <v>65</v>
      </c>
    </row>
    <row r="290" spans="4:108">
      <c r="D290">
        <f>ROUNDUP(6+F290/2,0)</f>
        <v>7</v>
      </c>
      <c r="E290" t="s">
        <v>6</v>
      </c>
      <c r="F290" s="6">
        <f>LEN(G290)</f>
        <v>1</v>
      </c>
      <c r="G290" s="6" t="s">
        <v>22</v>
      </c>
      <c r="H290" s="6">
        <f>H287-15</f>
        <v>185</v>
      </c>
      <c r="I290" s="6">
        <f>I287+5</f>
        <v>1095</v>
      </c>
    </row>
    <row r="291" spans="4:108">
      <c r="D291">
        <v>8</v>
      </c>
      <c r="E291" t="s">
        <v>1</v>
      </c>
      <c r="F291" s="6">
        <v>2</v>
      </c>
      <c r="G291" s="6">
        <v>40</v>
      </c>
      <c r="H291" s="6">
        <v>50</v>
      </c>
      <c r="I291" s="6">
        <v>60</v>
      </c>
      <c r="J291" s="6">
        <f>H291</f>
        <v>50</v>
      </c>
    </row>
    <row r="292" spans="4:108">
      <c r="D292">
        <v>8</v>
      </c>
      <c r="E292" t="s">
        <v>1</v>
      </c>
      <c r="F292" s="6">
        <v>2</v>
      </c>
      <c r="G292" s="6">
        <f>I287-40</f>
        <v>1050</v>
      </c>
      <c r="H292" s="6">
        <v>190</v>
      </c>
      <c r="I292" s="6">
        <f>G292</f>
        <v>1050</v>
      </c>
      <c r="J292" s="6">
        <v>210</v>
      </c>
    </row>
    <row r="293" spans="4:108">
      <c r="D293">
        <v>8</v>
      </c>
      <c r="E293" t="s">
        <v>1</v>
      </c>
      <c r="F293" s="6">
        <v>2</v>
      </c>
      <c r="G293" s="6">
        <f>G292-250</f>
        <v>800</v>
      </c>
      <c r="H293" s="6">
        <v>190</v>
      </c>
      <c r="I293" s="6">
        <f>G293</f>
        <v>800</v>
      </c>
      <c r="J293" s="6">
        <v>210</v>
      </c>
    </row>
    <row r="294" spans="4:108">
      <c r="D294">
        <v>8</v>
      </c>
      <c r="E294" t="s">
        <v>1</v>
      </c>
      <c r="F294" s="6">
        <v>2</v>
      </c>
      <c r="G294" s="6">
        <f>G293-500</f>
        <v>300</v>
      </c>
      <c r="H294" s="6">
        <v>190</v>
      </c>
      <c r="I294" s="6">
        <f>G294</f>
        <v>300</v>
      </c>
      <c r="J294" s="6">
        <v>210</v>
      </c>
    </row>
    <row r="295" spans="4:108">
      <c r="D295">
        <f>ROUNDUP(6+F295/2,0)</f>
        <v>7</v>
      </c>
      <c r="E295" t="s">
        <v>6</v>
      </c>
      <c r="F295" s="6">
        <f>LEN(G295)</f>
        <v>1</v>
      </c>
      <c r="G295" s="32">
        <v>1</v>
      </c>
      <c r="H295" s="6">
        <v>35</v>
      </c>
      <c r="I295" s="6">
        <v>5</v>
      </c>
    </row>
    <row r="296" spans="4:108">
      <c r="D296">
        <f>ROUNDUP(6+F296/2,0)</f>
        <v>7</v>
      </c>
      <c r="E296" t="s">
        <v>6</v>
      </c>
      <c r="F296" s="6">
        <f>LEN(G296)</f>
        <v>1</v>
      </c>
      <c r="G296" s="6">
        <v>0</v>
      </c>
      <c r="H296" s="6">
        <v>185</v>
      </c>
      <c r="I296" s="6">
        <v>5</v>
      </c>
    </row>
    <row r="297" spans="4:108">
      <c r="E297" t="s">
        <v>515</v>
      </c>
      <c r="F297" s="6" t="s">
        <v>536</v>
      </c>
      <c r="G297" s="6">
        <v>45</v>
      </c>
      <c r="H297" s="6">
        <v>215</v>
      </c>
      <c r="I297" s="6">
        <f>G297+250</f>
        <v>295</v>
      </c>
      <c r="J297" s="6">
        <f>I297+500</f>
        <v>795</v>
      </c>
      <c r="K297" s="6">
        <f>I287-45</f>
        <v>1045</v>
      </c>
    </row>
    <row r="298" spans="4:108">
      <c r="D298">
        <v>7</v>
      </c>
      <c r="E298" t="s">
        <v>11</v>
      </c>
      <c r="F298" s="6">
        <v>0</v>
      </c>
      <c r="G298" s="6">
        <f>255*256+192</f>
        <v>65472</v>
      </c>
      <c r="H298" s="6">
        <v>192</v>
      </c>
      <c r="I298" s="6">
        <v>0</v>
      </c>
    </row>
    <row r="299" spans="4:108">
      <c r="D299">
        <v>4</v>
      </c>
      <c r="E299" t="s">
        <v>15</v>
      </c>
      <c r="F299" s="6">
        <v>3</v>
      </c>
    </row>
    <row r="300" spans="4:108">
      <c r="D300">
        <v>106</v>
      </c>
      <c r="E300" t="s">
        <v>4</v>
      </c>
      <c r="F300" s="6">
        <v>51</v>
      </c>
      <c r="G300" s="31">
        <v>50</v>
      </c>
      <c r="H300" s="31">
        <v>162</v>
      </c>
      <c r="I300" s="31">
        <v>270</v>
      </c>
      <c r="J300" s="31">
        <v>162</v>
      </c>
      <c r="K300" s="31">
        <v>280</v>
      </c>
      <c r="L300" s="31">
        <v>158</v>
      </c>
      <c r="M300" s="31">
        <v>290</v>
      </c>
      <c r="N300" s="31">
        <v>151</v>
      </c>
      <c r="O300" s="31">
        <v>300</v>
      </c>
      <c r="P300" s="1">
        <v>143</v>
      </c>
      <c r="Q300" s="1">
        <v>310</v>
      </c>
      <c r="R300" s="1">
        <v>136</v>
      </c>
      <c r="S300" s="1">
        <v>320</v>
      </c>
      <c r="T300" s="1">
        <v>128</v>
      </c>
      <c r="U300" s="1">
        <v>330</v>
      </c>
      <c r="V300" s="1">
        <v>125</v>
      </c>
      <c r="W300" s="1">
        <v>340</v>
      </c>
      <c r="X300" s="1">
        <v>125</v>
      </c>
      <c r="Y300" s="1">
        <v>470</v>
      </c>
      <c r="Z300" s="1">
        <v>125</v>
      </c>
      <c r="AA300" s="1">
        <v>480</v>
      </c>
      <c r="AB300" s="1">
        <v>125</v>
      </c>
      <c r="AC300">
        <v>490</v>
      </c>
      <c r="AD300">
        <v>125</v>
      </c>
      <c r="AE300">
        <v>500</v>
      </c>
      <c r="AF300">
        <v>125</v>
      </c>
      <c r="AG300">
        <v>510</v>
      </c>
      <c r="AH300">
        <v>124</v>
      </c>
      <c r="AI300">
        <v>520</v>
      </c>
      <c r="AJ300">
        <v>121</v>
      </c>
      <c r="AK300">
        <v>530</v>
      </c>
      <c r="AL300">
        <v>118</v>
      </c>
      <c r="AM300">
        <v>540</v>
      </c>
      <c r="AN300">
        <v>112</v>
      </c>
      <c r="AO300">
        <v>550</v>
      </c>
      <c r="AP300">
        <v>106</v>
      </c>
      <c r="AQ300">
        <v>560</v>
      </c>
      <c r="AR300">
        <v>99</v>
      </c>
      <c r="AS300">
        <v>570</v>
      </c>
      <c r="AT300">
        <v>94</v>
      </c>
      <c r="AU300">
        <v>580</v>
      </c>
      <c r="AV300">
        <v>90</v>
      </c>
      <c r="AW300">
        <v>590</v>
      </c>
      <c r="AX300">
        <v>88</v>
      </c>
      <c r="AY300">
        <v>600</v>
      </c>
      <c r="AZ300">
        <v>87</v>
      </c>
      <c r="BA300">
        <v>710</v>
      </c>
      <c r="BB300">
        <v>87</v>
      </c>
      <c r="BC300">
        <v>720</v>
      </c>
      <c r="BD300">
        <v>87</v>
      </c>
      <c r="BE300">
        <v>730</v>
      </c>
      <c r="BF300">
        <v>87</v>
      </c>
      <c r="BG300">
        <v>740</v>
      </c>
      <c r="BH300">
        <v>87</v>
      </c>
      <c r="BI300">
        <v>750</v>
      </c>
      <c r="BJ300">
        <v>86</v>
      </c>
      <c r="BK300">
        <v>760</v>
      </c>
      <c r="BL300">
        <v>85</v>
      </c>
      <c r="BM300">
        <v>770</v>
      </c>
      <c r="BN300">
        <v>82</v>
      </c>
      <c r="BO300">
        <v>780</v>
      </c>
      <c r="BP300">
        <v>79</v>
      </c>
      <c r="BQ300">
        <v>790</v>
      </c>
      <c r="BR300">
        <v>74</v>
      </c>
      <c r="BS300">
        <v>800</v>
      </c>
      <c r="BT300">
        <v>68</v>
      </c>
      <c r="BU300">
        <v>810</v>
      </c>
      <c r="BV300">
        <v>63</v>
      </c>
      <c r="BW300">
        <v>820</v>
      </c>
      <c r="BX300">
        <v>58</v>
      </c>
      <c r="BY300">
        <v>830</v>
      </c>
      <c r="BZ300">
        <v>54</v>
      </c>
      <c r="CA300">
        <v>840</v>
      </c>
      <c r="CB300">
        <v>52</v>
      </c>
      <c r="CC300">
        <v>850</v>
      </c>
      <c r="CD300">
        <v>50</v>
      </c>
      <c r="CE300">
        <v>860</v>
      </c>
      <c r="CF300">
        <v>50</v>
      </c>
      <c r="CG300">
        <v>870</v>
      </c>
      <c r="CH300">
        <v>49</v>
      </c>
      <c r="CI300">
        <v>970</v>
      </c>
      <c r="CJ300">
        <v>49</v>
      </c>
      <c r="CK300">
        <v>980</v>
      </c>
      <c r="CL300">
        <v>49</v>
      </c>
      <c r="CM300">
        <v>990</v>
      </c>
      <c r="CN300">
        <v>49</v>
      </c>
      <c r="CO300">
        <v>1000</v>
      </c>
      <c r="CP300">
        <v>48</v>
      </c>
      <c r="CQ300">
        <v>1010</v>
      </c>
      <c r="CR300">
        <v>46</v>
      </c>
      <c r="CS300">
        <v>1020</v>
      </c>
      <c r="CT300">
        <v>44</v>
      </c>
      <c r="CU300">
        <v>1030</v>
      </c>
      <c r="CV300">
        <v>40</v>
      </c>
      <c r="CW300">
        <v>1040</v>
      </c>
      <c r="CX300">
        <v>36</v>
      </c>
      <c r="CY300">
        <v>1050</v>
      </c>
      <c r="CZ300">
        <v>31</v>
      </c>
      <c r="DA300">
        <v>1050</v>
      </c>
      <c r="DB300">
        <v>50</v>
      </c>
      <c r="DC300" s="1">
        <v>50</v>
      </c>
      <c r="DD300" s="1">
        <v>200</v>
      </c>
    </row>
    <row r="301" spans="4:108">
      <c r="D301">
        <v>10</v>
      </c>
      <c r="E301" t="s">
        <v>4</v>
      </c>
      <c r="F301" s="6">
        <v>3</v>
      </c>
      <c r="G301" s="6">
        <v>50</v>
      </c>
      <c r="H301" s="6">
        <v>200</v>
      </c>
      <c r="I301" s="31">
        <v>1050</v>
      </c>
      <c r="J301" s="31">
        <v>50</v>
      </c>
      <c r="K301" s="31">
        <v>1050</v>
      </c>
      <c r="L301" s="31">
        <v>200</v>
      </c>
    </row>
    <row r="302" spans="4:108">
      <c r="D302">
        <f>ROUNDUP(6+F302/2,0)</f>
        <v>9</v>
      </c>
      <c r="E302" t="s">
        <v>6</v>
      </c>
      <c r="F302" s="6">
        <f>LEN(G302)</f>
        <v>5</v>
      </c>
      <c r="G302" s="6" t="s">
        <v>53</v>
      </c>
      <c r="H302" s="6">
        <v>210</v>
      </c>
      <c r="I302" s="6">
        <v>500</v>
      </c>
    </row>
    <row r="303" spans="4:108">
      <c r="D303">
        <f>ROUNDUP(6+F303/2,0)</f>
        <v>12</v>
      </c>
      <c r="E303" t="s">
        <v>6</v>
      </c>
      <c r="F303" s="6">
        <f>LEN(G303)</f>
        <v>11</v>
      </c>
      <c r="G303" s="6" t="s">
        <v>54</v>
      </c>
      <c r="H303" s="6">
        <v>50</v>
      </c>
      <c r="I303" s="6">
        <v>350</v>
      </c>
    </row>
    <row r="304" spans="4:108">
      <c r="D304">
        <v>10</v>
      </c>
      <c r="E304" t="s">
        <v>1</v>
      </c>
      <c r="F304" s="6">
        <v>3</v>
      </c>
      <c r="G304" s="6">
        <v>510</v>
      </c>
      <c r="H304" s="6">
        <v>70</v>
      </c>
      <c r="I304" s="31">
        <v>560</v>
      </c>
      <c r="J304" s="31">
        <v>70</v>
      </c>
      <c r="K304" s="31">
        <v>600</v>
      </c>
      <c r="L304" s="31">
        <v>110</v>
      </c>
    </row>
    <row r="305" spans="1:108">
      <c r="D305">
        <v>10</v>
      </c>
      <c r="E305" t="s">
        <v>1</v>
      </c>
      <c r="F305" s="6">
        <v>3</v>
      </c>
      <c r="G305" s="6">
        <v>580</v>
      </c>
      <c r="H305" s="6">
        <v>225</v>
      </c>
      <c r="I305" s="31">
        <v>630</v>
      </c>
      <c r="J305" s="31">
        <v>225</v>
      </c>
      <c r="K305" s="31">
        <v>670</v>
      </c>
      <c r="L305" s="31">
        <v>175</v>
      </c>
    </row>
    <row r="307" spans="1:108">
      <c r="D307">
        <v>106</v>
      </c>
      <c r="E307" t="s">
        <v>4</v>
      </c>
      <c r="F307" s="6">
        <v>51</v>
      </c>
      <c r="G307" s="31">
        <v>50</v>
      </c>
      <c r="H307" s="31">
        <v>50</v>
      </c>
      <c r="I307" s="31">
        <v>270</v>
      </c>
      <c r="J307" s="31">
        <v>182</v>
      </c>
      <c r="K307" s="31">
        <v>280</v>
      </c>
      <c r="L307" s="31">
        <v>172</v>
      </c>
      <c r="M307" s="31">
        <v>290</v>
      </c>
      <c r="N307" s="31">
        <v>148</v>
      </c>
      <c r="O307" s="31">
        <v>300</v>
      </c>
      <c r="P307" s="1">
        <v>125</v>
      </c>
      <c r="Q307" s="1">
        <v>310</v>
      </c>
      <c r="R307" s="1">
        <v>101</v>
      </c>
      <c r="S307" s="1">
        <v>320</v>
      </c>
      <c r="T307" s="1">
        <v>77</v>
      </c>
      <c r="U307" s="1">
        <v>330</v>
      </c>
      <c r="V307" s="1">
        <v>68</v>
      </c>
      <c r="W307" s="1">
        <v>340</v>
      </c>
      <c r="X307" s="1">
        <v>74</v>
      </c>
      <c r="Y307" s="1">
        <v>470</v>
      </c>
      <c r="Z307" s="1">
        <v>152</v>
      </c>
      <c r="AA307" s="1">
        <v>480</v>
      </c>
      <c r="AB307" s="1">
        <v>158</v>
      </c>
      <c r="AC307">
        <v>490</v>
      </c>
      <c r="AD307">
        <v>164</v>
      </c>
      <c r="AE307">
        <v>500</v>
      </c>
      <c r="AF307">
        <v>170</v>
      </c>
      <c r="AG307">
        <v>510</v>
      </c>
      <c r="AH307">
        <v>173</v>
      </c>
      <c r="AI307">
        <v>520</v>
      </c>
      <c r="AJ307">
        <v>169</v>
      </c>
      <c r="AK307">
        <v>530</v>
      </c>
      <c r="AL307">
        <v>161</v>
      </c>
      <c r="AM307">
        <v>540</v>
      </c>
      <c r="AN307">
        <v>145</v>
      </c>
      <c r="AO307">
        <v>550</v>
      </c>
      <c r="AP307">
        <v>125</v>
      </c>
      <c r="AQ307">
        <v>560</v>
      </c>
      <c r="AR307">
        <v>104</v>
      </c>
      <c r="AS307">
        <v>570</v>
      </c>
      <c r="AT307">
        <v>88</v>
      </c>
      <c r="AU307">
        <v>580</v>
      </c>
      <c r="AV307">
        <v>80</v>
      </c>
      <c r="AW307">
        <v>590</v>
      </c>
      <c r="AX307">
        <v>76</v>
      </c>
      <c r="AY307">
        <v>600</v>
      </c>
      <c r="AZ307">
        <v>80</v>
      </c>
      <c r="BA307">
        <v>710</v>
      </c>
      <c r="BB307">
        <v>145</v>
      </c>
      <c r="BC307">
        <v>720</v>
      </c>
      <c r="BD307">
        <v>151</v>
      </c>
      <c r="BE307">
        <v>730</v>
      </c>
      <c r="BF307">
        <v>157</v>
      </c>
      <c r="BG307">
        <v>740</v>
      </c>
      <c r="BH307">
        <v>163</v>
      </c>
      <c r="BI307">
        <v>750</v>
      </c>
      <c r="BJ307">
        <v>166</v>
      </c>
      <c r="BK307">
        <v>760</v>
      </c>
      <c r="BL307">
        <v>167</v>
      </c>
      <c r="BM307">
        <v>770</v>
      </c>
      <c r="BN307">
        <v>163</v>
      </c>
      <c r="BO307">
        <v>780</v>
      </c>
      <c r="BP307">
        <v>154</v>
      </c>
      <c r="BQ307">
        <v>790</v>
      </c>
      <c r="BR307">
        <v>140</v>
      </c>
      <c r="BS307">
        <v>800</v>
      </c>
      <c r="BT307">
        <v>124</v>
      </c>
      <c r="BU307">
        <v>810</v>
      </c>
      <c r="BV307">
        <v>108</v>
      </c>
      <c r="BW307">
        <v>820</v>
      </c>
      <c r="BX307">
        <v>95</v>
      </c>
      <c r="BY307">
        <v>830</v>
      </c>
      <c r="BZ307">
        <v>86</v>
      </c>
      <c r="CA307">
        <v>840</v>
      </c>
      <c r="CB307">
        <v>82</v>
      </c>
      <c r="CC307">
        <v>850</v>
      </c>
      <c r="CD307">
        <v>83</v>
      </c>
      <c r="CE307">
        <v>860</v>
      </c>
      <c r="CF307">
        <v>86</v>
      </c>
      <c r="CG307">
        <v>870</v>
      </c>
      <c r="CH307">
        <v>91</v>
      </c>
      <c r="CI307">
        <v>970</v>
      </c>
      <c r="CJ307">
        <v>151</v>
      </c>
      <c r="CK307">
        <v>980</v>
      </c>
      <c r="CL307">
        <v>157</v>
      </c>
      <c r="CM307">
        <v>990</v>
      </c>
      <c r="CN307">
        <v>161</v>
      </c>
      <c r="CO307">
        <v>1000</v>
      </c>
      <c r="CP307">
        <v>163</v>
      </c>
      <c r="CQ307">
        <v>1010</v>
      </c>
      <c r="CR307">
        <v>163</v>
      </c>
      <c r="CS307">
        <v>1020</v>
      </c>
      <c r="CT307">
        <v>158</v>
      </c>
      <c r="CU307">
        <v>1030</v>
      </c>
      <c r="CV307">
        <v>150</v>
      </c>
      <c r="CW307">
        <v>1040</v>
      </c>
      <c r="CX307">
        <v>138</v>
      </c>
      <c r="CY307">
        <v>1050</v>
      </c>
      <c r="CZ307">
        <v>124</v>
      </c>
      <c r="DA307" s="1">
        <v>1050</v>
      </c>
      <c r="DB307" s="1">
        <v>200</v>
      </c>
      <c r="DC307" s="1">
        <v>50</v>
      </c>
      <c r="DD307" s="1">
        <v>200</v>
      </c>
    </row>
    <row r="308" spans="1:108">
      <c r="D308">
        <v>8</v>
      </c>
      <c r="E308" t="s">
        <v>14</v>
      </c>
      <c r="F308" s="6">
        <v>0</v>
      </c>
      <c r="G308" s="6">
        <v>1</v>
      </c>
      <c r="H308" s="6">
        <v>0</v>
      </c>
      <c r="I308" s="6">
        <v>0</v>
      </c>
      <c r="J308" s="6">
        <v>0</v>
      </c>
      <c r="K308" s="31"/>
      <c r="L308" s="31"/>
      <c r="M308" s="31"/>
      <c r="N308" s="31"/>
      <c r="O308" s="3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DA308" s="1"/>
      <c r="DB308" s="1"/>
      <c r="DC308" s="1"/>
      <c r="DD308" s="1"/>
    </row>
    <row r="309" spans="1:108">
      <c r="D309">
        <v>4</v>
      </c>
      <c r="E309" t="s">
        <v>15</v>
      </c>
      <c r="F309" s="6">
        <v>4</v>
      </c>
      <c r="K309" s="31"/>
      <c r="L309" s="31"/>
      <c r="M309" s="31"/>
      <c r="N309" s="31"/>
      <c r="O309" s="3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DA309" s="1"/>
      <c r="DB309" s="1"/>
      <c r="DC309" s="1"/>
      <c r="DD309" s="1"/>
    </row>
    <row r="310" spans="1:108">
      <c r="D310">
        <f>F310*2+4</f>
        <v>20</v>
      </c>
      <c r="E310" t="s">
        <v>1</v>
      </c>
      <c r="F310" s="6">
        <v>8</v>
      </c>
      <c r="G310" s="6">
        <v>50</v>
      </c>
      <c r="H310" s="6">
        <v>50</v>
      </c>
      <c r="I310" s="6">
        <f>G310+250</f>
        <v>300</v>
      </c>
      <c r="J310" s="6">
        <v>200</v>
      </c>
      <c r="K310" s="6">
        <f>I310</f>
        <v>300</v>
      </c>
      <c r="L310" s="31">
        <v>50</v>
      </c>
      <c r="M310" s="6">
        <f>K310+250</f>
        <v>550</v>
      </c>
      <c r="N310" s="6">
        <v>200</v>
      </c>
      <c r="O310" s="6">
        <f>M310</f>
        <v>550</v>
      </c>
      <c r="P310" s="1">
        <v>50</v>
      </c>
      <c r="Q310">
        <f>O310+250</f>
        <v>800</v>
      </c>
      <c r="R310">
        <v>200</v>
      </c>
      <c r="S310">
        <f>Q310</f>
        <v>800</v>
      </c>
      <c r="T310" s="1">
        <v>50</v>
      </c>
      <c r="U310">
        <f>S310+250</f>
        <v>1050</v>
      </c>
      <c r="V310">
        <v>200</v>
      </c>
      <c r="X310" s="1"/>
    </row>
    <row r="313" spans="1:108">
      <c r="A313" s="48" t="s">
        <v>383</v>
      </c>
      <c r="B313" s="1" t="s">
        <v>56</v>
      </c>
      <c r="D313" t="s">
        <v>449</v>
      </c>
      <c r="E313">
        <v>52695</v>
      </c>
      <c r="F313" s="6">
        <v>39622</v>
      </c>
      <c r="G313" s="6">
        <v>0</v>
      </c>
      <c r="H313" s="6">
        <v>0</v>
      </c>
      <c r="I313" s="6">
        <v>0</v>
      </c>
      <c r="J313" s="6">
        <v>620</v>
      </c>
      <c r="K313" s="6">
        <v>820</v>
      </c>
      <c r="L313" s="6">
        <v>192</v>
      </c>
      <c r="M313" s="6">
        <v>0</v>
      </c>
      <c r="N313" s="6">
        <v>0</v>
      </c>
      <c r="O313" s="6" t="e">
        <f ca="1">checksummeint(G313,H313,I313,J313,K313,L313,M313,N313)</f>
        <v>#NAME?</v>
      </c>
    </row>
    <row r="314" spans="1:108">
      <c r="D314">
        <v>28</v>
      </c>
      <c r="E314" t="s">
        <v>12</v>
      </c>
      <c r="F314" s="6">
        <v>36</v>
      </c>
      <c r="G314" s="6">
        <v>0</v>
      </c>
      <c r="H314" s="6">
        <v>0</v>
      </c>
      <c r="I314" s="6">
        <v>0</v>
      </c>
      <c r="J314" s="6">
        <v>400</v>
      </c>
      <c r="K314" s="6">
        <v>0</v>
      </c>
      <c r="L314" s="6">
        <v>0</v>
      </c>
      <c r="M314" s="6">
        <v>0</v>
      </c>
      <c r="N314" s="6">
        <v>0</v>
      </c>
      <c r="O314" s="6" t="s">
        <v>19</v>
      </c>
    </row>
    <row r="315" spans="1:108">
      <c r="D315">
        <v>4</v>
      </c>
      <c r="E315" t="s">
        <v>15</v>
      </c>
      <c r="F315" s="6">
        <v>0</v>
      </c>
    </row>
    <row r="316" spans="1:108">
      <c r="D316">
        <v>8</v>
      </c>
      <c r="E316" t="s">
        <v>14</v>
      </c>
      <c r="F316" s="6">
        <v>0</v>
      </c>
      <c r="G316" s="6">
        <v>2</v>
      </c>
      <c r="H316" s="6">
        <v>0</v>
      </c>
      <c r="I316" s="6">
        <v>0</v>
      </c>
      <c r="J316" s="6">
        <v>0</v>
      </c>
    </row>
    <row r="317" spans="1:108">
      <c r="D317">
        <v>4</v>
      </c>
      <c r="E317" t="s">
        <v>15</v>
      </c>
      <c r="F317" s="6">
        <v>1</v>
      </c>
    </row>
    <row r="318" spans="1:108">
      <c r="D318">
        <v>7</v>
      </c>
      <c r="E318" t="s">
        <v>11</v>
      </c>
      <c r="F318" s="6">
        <v>0</v>
      </c>
      <c r="G318" s="6">
        <v>0</v>
      </c>
      <c r="H318" s="6">
        <v>0</v>
      </c>
      <c r="I318" s="6">
        <v>0</v>
      </c>
    </row>
    <row r="319" spans="1:108">
      <c r="D319">
        <v>4</v>
      </c>
      <c r="E319" t="s">
        <v>15</v>
      </c>
      <c r="F319" s="6">
        <v>2</v>
      </c>
    </row>
    <row r="320" spans="1:108">
      <c r="D320">
        <v>5</v>
      </c>
      <c r="E320" s="48" t="s">
        <v>59</v>
      </c>
      <c r="F320" s="6">
        <v>1</v>
      </c>
      <c r="G320" s="6">
        <v>0</v>
      </c>
    </row>
    <row r="321" spans="4:11">
      <c r="D321">
        <v>18</v>
      </c>
      <c r="E321" s="1" t="s">
        <v>111</v>
      </c>
      <c r="F321" s="6">
        <v>20</v>
      </c>
      <c r="G321" s="6">
        <v>40</v>
      </c>
      <c r="H321" s="6">
        <v>125</v>
      </c>
      <c r="I321" s="6">
        <v>590</v>
      </c>
      <c r="J321" s="6">
        <f>H321</f>
        <v>125</v>
      </c>
    </row>
    <row r="322" spans="4:11">
      <c r="D322">
        <v>18</v>
      </c>
      <c r="E322" s="1" t="s">
        <v>111</v>
      </c>
      <c r="F322" s="6">
        <v>20</v>
      </c>
      <c r="G322" s="6">
        <v>50</v>
      </c>
      <c r="H322" s="6">
        <v>210</v>
      </c>
      <c r="I322" s="6">
        <f>G322</f>
        <v>50</v>
      </c>
      <c r="J322" s="6">
        <v>10</v>
      </c>
    </row>
    <row r="323" spans="4:11">
      <c r="D323">
        <v>18</v>
      </c>
      <c r="E323" s="1" t="s">
        <v>111</v>
      </c>
      <c r="F323" s="6">
        <v>20</v>
      </c>
      <c r="G323" s="6">
        <v>40</v>
      </c>
      <c r="H323" s="6">
        <v>425</v>
      </c>
      <c r="I323" s="6">
        <v>590</v>
      </c>
      <c r="J323" s="6">
        <f>H323</f>
        <v>425</v>
      </c>
    </row>
    <row r="324" spans="4:11">
      <c r="D324">
        <v>18</v>
      </c>
      <c r="E324" s="1" t="s">
        <v>111</v>
      </c>
      <c r="F324" s="6">
        <v>20</v>
      </c>
      <c r="G324" s="6">
        <v>50</v>
      </c>
      <c r="H324" s="6">
        <v>510</v>
      </c>
      <c r="I324" s="6">
        <f>G324</f>
        <v>50</v>
      </c>
      <c r="J324" s="6">
        <v>310</v>
      </c>
    </row>
    <row r="325" spans="4:11">
      <c r="D325">
        <v>18</v>
      </c>
      <c r="E325" s="1" t="s">
        <v>111</v>
      </c>
      <c r="F325" s="6">
        <v>20</v>
      </c>
      <c r="G325" s="6">
        <v>40</v>
      </c>
      <c r="H325" s="6">
        <v>725</v>
      </c>
      <c r="I325" s="6">
        <v>590</v>
      </c>
      <c r="J325" s="6">
        <f>H325</f>
        <v>725</v>
      </c>
    </row>
    <row r="326" spans="4:11">
      <c r="D326">
        <v>18</v>
      </c>
      <c r="E326" s="1" t="s">
        <v>111</v>
      </c>
      <c r="F326" s="6">
        <v>20</v>
      </c>
      <c r="G326" s="6">
        <v>50</v>
      </c>
      <c r="H326" s="6">
        <v>810</v>
      </c>
      <c r="I326" s="6">
        <f>G326</f>
        <v>50</v>
      </c>
      <c r="J326" s="6">
        <v>610</v>
      </c>
    </row>
    <row r="327" spans="4:11">
      <c r="D327">
        <v>7</v>
      </c>
      <c r="E327" t="s">
        <v>5</v>
      </c>
      <c r="F327" s="6">
        <v>265</v>
      </c>
      <c r="G327" s="6">
        <v>250</v>
      </c>
      <c r="H327" s="6">
        <f>F327+10</f>
        <v>275</v>
      </c>
      <c r="I327" s="6">
        <f>G327+100</f>
        <v>350</v>
      </c>
    </row>
    <row r="328" spans="4:11">
      <c r="D328">
        <v>7</v>
      </c>
      <c r="E328" t="s">
        <v>5</v>
      </c>
      <c r="F328" s="6">
        <f>F327+280</f>
        <v>545</v>
      </c>
      <c r="G328" s="6">
        <f>G327</f>
        <v>250</v>
      </c>
      <c r="H328" s="6">
        <f>F328+10</f>
        <v>555</v>
      </c>
      <c r="I328" s="6">
        <f>I327</f>
        <v>350</v>
      </c>
    </row>
    <row r="329" spans="4:11">
      <c r="D329">
        <v>7</v>
      </c>
      <c r="E329" t="s">
        <v>5</v>
      </c>
      <c r="F329" s="6">
        <f>F328+40</f>
        <v>585</v>
      </c>
      <c r="G329" s="6">
        <f>G328</f>
        <v>250</v>
      </c>
      <c r="H329" s="6">
        <f>F329+10</f>
        <v>595</v>
      </c>
      <c r="I329" s="6">
        <f>I328</f>
        <v>350</v>
      </c>
    </row>
    <row r="330" spans="4:11">
      <c r="E330" t="s">
        <v>517</v>
      </c>
      <c r="F330" s="6" t="s">
        <v>537</v>
      </c>
      <c r="G330" s="6">
        <f>I322+15</f>
        <v>65</v>
      </c>
      <c r="H330" s="6">
        <f>J322</f>
        <v>10</v>
      </c>
      <c r="I330" s="6">
        <f>H330+300</f>
        <v>310</v>
      </c>
      <c r="J330" s="6">
        <f>I330+300</f>
        <v>610</v>
      </c>
      <c r="K330" s="24"/>
    </row>
    <row r="331" spans="4:11">
      <c r="E331" t="s">
        <v>517</v>
      </c>
      <c r="F331" s="6" t="s">
        <v>538</v>
      </c>
      <c r="G331" s="6">
        <f>I321+5</f>
        <v>595</v>
      </c>
      <c r="H331" s="6">
        <f>H321-15</f>
        <v>110</v>
      </c>
      <c r="I331" s="6">
        <f>H331+300</f>
        <v>410</v>
      </c>
      <c r="J331" s="6">
        <f>I331+300</f>
        <v>710</v>
      </c>
      <c r="K331" s="24"/>
    </row>
    <row r="332" spans="4:11">
      <c r="D332">
        <v>8</v>
      </c>
      <c r="E332" t="s">
        <v>1</v>
      </c>
      <c r="F332" s="6">
        <v>2</v>
      </c>
      <c r="G332" s="6">
        <v>40</v>
      </c>
      <c r="H332" s="6">
        <v>50</v>
      </c>
      <c r="I332" s="6">
        <v>60</v>
      </c>
      <c r="J332" s="6">
        <f t="shared" ref="J332:J337" si="5">H332</f>
        <v>50</v>
      </c>
    </row>
    <row r="333" spans="4:11">
      <c r="D333">
        <v>8</v>
      </c>
      <c r="E333" t="s">
        <v>1</v>
      </c>
      <c r="F333" s="6">
        <v>2</v>
      </c>
      <c r="G333" s="6">
        <f>G332</f>
        <v>40</v>
      </c>
      <c r="H333" s="6">
        <v>200</v>
      </c>
      <c r="I333" s="6">
        <f>I332</f>
        <v>60</v>
      </c>
      <c r="J333" s="6">
        <f t="shared" si="5"/>
        <v>200</v>
      </c>
    </row>
    <row r="334" spans="4:11">
      <c r="D334">
        <v>8</v>
      </c>
      <c r="E334" t="s">
        <v>1</v>
      </c>
      <c r="F334" s="6">
        <v>2</v>
      </c>
      <c r="G334" s="6">
        <f t="shared" ref="G334:I337" si="6">G333</f>
        <v>40</v>
      </c>
      <c r="H334" s="6">
        <f>H332+300</f>
        <v>350</v>
      </c>
      <c r="I334" s="6">
        <f t="shared" si="6"/>
        <v>60</v>
      </c>
      <c r="J334" s="6">
        <f t="shared" si="5"/>
        <v>350</v>
      </c>
    </row>
    <row r="335" spans="4:11">
      <c r="D335">
        <v>8</v>
      </c>
      <c r="E335" t="s">
        <v>1</v>
      </c>
      <c r="F335" s="6">
        <v>2</v>
      </c>
      <c r="G335" s="6">
        <f t="shared" si="6"/>
        <v>40</v>
      </c>
      <c r="H335" s="6">
        <f>H333+300</f>
        <v>500</v>
      </c>
      <c r="I335" s="6">
        <f t="shared" si="6"/>
        <v>60</v>
      </c>
      <c r="J335" s="6">
        <f t="shared" si="5"/>
        <v>500</v>
      </c>
    </row>
    <row r="336" spans="4:11">
      <c r="D336">
        <v>8</v>
      </c>
      <c r="E336" t="s">
        <v>1</v>
      </c>
      <c r="F336" s="6">
        <v>2</v>
      </c>
      <c r="G336" s="6">
        <f t="shared" si="6"/>
        <v>40</v>
      </c>
      <c r="H336" s="6">
        <f>H334+300</f>
        <v>650</v>
      </c>
      <c r="I336" s="6">
        <f t="shared" si="6"/>
        <v>60</v>
      </c>
      <c r="J336" s="6">
        <f t="shared" si="5"/>
        <v>650</v>
      </c>
    </row>
    <row r="337" spans="1:52">
      <c r="D337">
        <v>8</v>
      </c>
      <c r="E337" t="s">
        <v>1</v>
      </c>
      <c r="F337" s="6">
        <v>2</v>
      </c>
      <c r="G337" s="6">
        <f t="shared" si="6"/>
        <v>40</v>
      </c>
      <c r="H337" s="6">
        <f>H335+300</f>
        <v>800</v>
      </c>
      <c r="I337" s="6">
        <f t="shared" si="6"/>
        <v>60</v>
      </c>
      <c r="J337" s="6">
        <f t="shared" si="5"/>
        <v>800</v>
      </c>
    </row>
    <row r="338" spans="1:52">
      <c r="E338" t="s">
        <v>517</v>
      </c>
      <c r="F338" s="6" t="s">
        <v>539</v>
      </c>
      <c r="G338" s="6">
        <v>20</v>
      </c>
      <c r="H338" s="6">
        <v>35</v>
      </c>
      <c r="I338" s="6">
        <f t="shared" ref="I338:J340" si="7">H338+300</f>
        <v>335</v>
      </c>
      <c r="J338" s="6">
        <f t="shared" si="7"/>
        <v>635</v>
      </c>
      <c r="K338" s="24"/>
    </row>
    <row r="339" spans="1:52">
      <c r="E339" t="s">
        <v>517</v>
      </c>
      <c r="F339" s="32" t="s">
        <v>540</v>
      </c>
      <c r="G339" s="6">
        <v>10</v>
      </c>
      <c r="H339" s="6">
        <v>185</v>
      </c>
      <c r="I339" s="6">
        <f t="shared" si="7"/>
        <v>485</v>
      </c>
      <c r="J339" s="6">
        <f t="shared" si="7"/>
        <v>785</v>
      </c>
      <c r="K339" s="24"/>
    </row>
    <row r="340" spans="1:52">
      <c r="E340" t="s">
        <v>517</v>
      </c>
      <c r="F340" s="6" t="s">
        <v>539</v>
      </c>
      <c r="G340" s="6">
        <v>545</v>
      </c>
      <c r="H340" s="6">
        <v>130</v>
      </c>
      <c r="I340" s="6">
        <f t="shared" si="7"/>
        <v>430</v>
      </c>
      <c r="J340" s="6">
        <f t="shared" si="7"/>
        <v>730</v>
      </c>
      <c r="K340" s="24"/>
    </row>
    <row r="341" spans="1:52">
      <c r="D341">
        <v>7</v>
      </c>
      <c r="E341" t="s">
        <v>11</v>
      </c>
      <c r="F341" s="6">
        <v>0</v>
      </c>
      <c r="G341" s="6">
        <f>255*256+192</f>
        <v>65472</v>
      </c>
      <c r="H341" s="6">
        <v>192</v>
      </c>
      <c r="I341" s="6">
        <v>0</v>
      </c>
    </row>
    <row r="342" spans="1:52">
      <c r="D342">
        <v>4</v>
      </c>
      <c r="E342" t="s">
        <v>15</v>
      </c>
      <c r="F342" s="6">
        <v>3</v>
      </c>
    </row>
    <row r="343" spans="1:52">
      <c r="D343">
        <v>50</v>
      </c>
      <c r="E343" t="s">
        <v>4</v>
      </c>
      <c r="F343" s="6">
        <v>23</v>
      </c>
      <c r="G343" s="6">
        <v>50</v>
      </c>
      <c r="H343" s="6">
        <v>200</v>
      </c>
      <c r="I343" s="6">
        <v>75</v>
      </c>
      <c r="J343" s="6">
        <v>185</v>
      </c>
      <c r="K343" s="6">
        <v>100</v>
      </c>
      <c r="L343" s="6">
        <v>173</v>
      </c>
      <c r="M343" s="6">
        <v>125</v>
      </c>
      <c r="N343" s="6">
        <v>161</v>
      </c>
      <c r="O343" s="6">
        <v>150</v>
      </c>
      <c r="P343">
        <v>152</v>
      </c>
      <c r="Q343">
        <v>175</v>
      </c>
      <c r="R343">
        <v>143</v>
      </c>
      <c r="S343">
        <v>200</v>
      </c>
      <c r="T343">
        <v>137</v>
      </c>
      <c r="U343">
        <v>225</v>
      </c>
      <c r="V343">
        <v>131</v>
      </c>
      <c r="W343">
        <v>250</v>
      </c>
      <c r="X343">
        <v>128</v>
      </c>
      <c r="Y343">
        <v>275</v>
      </c>
      <c r="Z343">
        <v>125</v>
      </c>
      <c r="AA343">
        <v>300</v>
      </c>
      <c r="AB343">
        <v>125</v>
      </c>
      <c r="AC343">
        <v>325</v>
      </c>
      <c r="AD343">
        <v>124</v>
      </c>
      <c r="AE343">
        <v>350</v>
      </c>
      <c r="AF343">
        <v>122</v>
      </c>
      <c r="AG343">
        <v>375</v>
      </c>
      <c r="AH343">
        <v>118</v>
      </c>
      <c r="AI343">
        <v>400</v>
      </c>
      <c r="AJ343">
        <v>113</v>
      </c>
      <c r="AK343">
        <v>425</v>
      </c>
      <c r="AL343">
        <v>106</v>
      </c>
      <c r="AM343">
        <v>450</v>
      </c>
      <c r="AN343">
        <v>98</v>
      </c>
      <c r="AO343">
        <v>475</v>
      </c>
      <c r="AP343">
        <v>88</v>
      </c>
      <c r="AQ343">
        <v>500</v>
      </c>
      <c r="AR343">
        <v>77</v>
      </c>
      <c r="AS343">
        <v>525</v>
      </c>
      <c r="AT343">
        <v>64</v>
      </c>
      <c r="AU343">
        <v>550</v>
      </c>
      <c r="AV343">
        <v>50</v>
      </c>
      <c r="AW343">
        <v>550</v>
      </c>
      <c r="AX343">
        <v>125</v>
      </c>
      <c r="AY343">
        <v>50</v>
      </c>
      <c r="AZ343">
        <v>125</v>
      </c>
    </row>
    <row r="344" spans="1:52">
      <c r="D344">
        <v>12</v>
      </c>
      <c r="E344" t="s">
        <v>4</v>
      </c>
      <c r="F344" s="6">
        <v>4</v>
      </c>
      <c r="G344" s="6">
        <v>50</v>
      </c>
      <c r="H344" s="6">
        <v>425</v>
      </c>
      <c r="I344" s="6">
        <v>50</v>
      </c>
      <c r="J344" s="6">
        <v>500</v>
      </c>
      <c r="K344" s="6">
        <v>550</v>
      </c>
      <c r="L344" s="6">
        <v>350</v>
      </c>
      <c r="M344" s="6">
        <v>550</v>
      </c>
      <c r="N344" s="6">
        <v>425</v>
      </c>
    </row>
    <row r="345" spans="1:52">
      <c r="D345">
        <v>46</v>
      </c>
      <c r="E345" t="s">
        <v>4</v>
      </c>
      <c r="F345" s="6">
        <v>21</v>
      </c>
      <c r="G345" s="6">
        <v>50</v>
      </c>
      <c r="H345" s="6">
        <v>725</v>
      </c>
      <c r="I345" s="6">
        <v>75</v>
      </c>
      <c r="J345" s="6">
        <v>718</v>
      </c>
      <c r="K345" s="6">
        <v>100</v>
      </c>
      <c r="L345" s="6">
        <v>713</v>
      </c>
      <c r="M345" s="6">
        <v>125</v>
      </c>
      <c r="N345" s="6">
        <v>709</v>
      </c>
      <c r="O345" s="6">
        <v>150</v>
      </c>
      <c r="P345">
        <v>707</v>
      </c>
      <c r="Q345">
        <v>175</v>
      </c>
      <c r="R345">
        <v>706</v>
      </c>
      <c r="S345">
        <v>200</v>
      </c>
      <c r="T345">
        <v>707</v>
      </c>
      <c r="U345">
        <v>225</v>
      </c>
      <c r="V345">
        <v>709</v>
      </c>
      <c r="W345">
        <v>250</v>
      </c>
      <c r="X345">
        <v>713</v>
      </c>
      <c r="Y345">
        <v>275</v>
      </c>
      <c r="Z345">
        <v>718</v>
      </c>
      <c r="AA345">
        <v>300</v>
      </c>
      <c r="AB345">
        <v>725</v>
      </c>
      <c r="AC345">
        <v>325</v>
      </c>
      <c r="AD345">
        <v>731</v>
      </c>
      <c r="AE345">
        <v>350</v>
      </c>
      <c r="AF345">
        <v>737</v>
      </c>
      <c r="AG345">
        <v>375</v>
      </c>
      <c r="AH345">
        <v>740</v>
      </c>
      <c r="AI345">
        <v>400</v>
      </c>
      <c r="AJ345">
        <v>743</v>
      </c>
      <c r="AK345">
        <v>425</v>
      </c>
      <c r="AL345">
        <v>743</v>
      </c>
      <c r="AM345">
        <v>450</v>
      </c>
      <c r="AN345">
        <v>743</v>
      </c>
      <c r="AO345">
        <v>475</v>
      </c>
      <c r="AP345">
        <v>740</v>
      </c>
      <c r="AQ345">
        <v>500</v>
      </c>
      <c r="AR345">
        <v>737</v>
      </c>
      <c r="AS345">
        <v>525</v>
      </c>
      <c r="AT345">
        <v>731</v>
      </c>
      <c r="AU345">
        <v>550</v>
      </c>
      <c r="AV345">
        <v>725</v>
      </c>
    </row>
    <row r="346" spans="1:52">
      <c r="D346">
        <v>8</v>
      </c>
      <c r="E346" t="s">
        <v>14</v>
      </c>
      <c r="F346" s="6">
        <v>0</v>
      </c>
      <c r="G346" s="6">
        <v>1</v>
      </c>
      <c r="H346" s="6">
        <v>0</v>
      </c>
      <c r="I346" s="6">
        <v>0</v>
      </c>
      <c r="J346" s="6">
        <v>0</v>
      </c>
    </row>
    <row r="347" spans="1:52">
      <c r="D347">
        <v>4</v>
      </c>
      <c r="E347" t="s">
        <v>15</v>
      </c>
      <c r="F347" s="6">
        <v>4</v>
      </c>
    </row>
    <row r="348" spans="1:52">
      <c r="D348">
        <v>12</v>
      </c>
      <c r="E348" t="s">
        <v>1</v>
      </c>
      <c r="F348" s="6">
        <v>4</v>
      </c>
      <c r="G348" s="6">
        <v>50</v>
      </c>
      <c r="H348" s="6">
        <v>700</v>
      </c>
      <c r="I348" s="6">
        <v>50</v>
      </c>
      <c r="J348" s="6">
        <v>650</v>
      </c>
      <c r="K348" s="6">
        <v>550</v>
      </c>
      <c r="L348" s="6">
        <v>800</v>
      </c>
      <c r="M348" s="6">
        <v>550</v>
      </c>
      <c r="N348" s="6">
        <v>760</v>
      </c>
    </row>
    <row r="350" spans="1:52">
      <c r="G350" s="31"/>
      <c r="H350" s="31"/>
      <c r="I350" s="31"/>
      <c r="J350" s="31"/>
      <c r="K350" s="31"/>
      <c r="L350" s="31"/>
      <c r="M350" s="31"/>
      <c r="N350" s="31"/>
      <c r="O350" s="3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52">
      <c r="A351" s="48" t="s">
        <v>383</v>
      </c>
      <c r="B351" s="1" t="s">
        <v>55</v>
      </c>
      <c r="D351" t="s">
        <v>449</v>
      </c>
      <c r="E351">
        <v>52695</v>
      </c>
      <c r="F351" s="6">
        <v>39622</v>
      </c>
      <c r="G351" s="6">
        <v>0</v>
      </c>
      <c r="H351" s="6">
        <v>0</v>
      </c>
      <c r="I351" s="6">
        <v>0</v>
      </c>
      <c r="J351" s="6">
        <v>620</v>
      </c>
      <c r="K351" s="6">
        <v>220</v>
      </c>
      <c r="L351" s="6">
        <v>192</v>
      </c>
      <c r="M351" s="6">
        <v>0</v>
      </c>
      <c r="N351" s="6">
        <v>0</v>
      </c>
      <c r="O351" s="6" t="e">
        <f ca="1">checksummeint(G351,H351,I351,J351,K351,L351,M351,N351)</f>
        <v>#NAME?</v>
      </c>
    </row>
    <row r="352" spans="1:52">
      <c r="D352">
        <v>28</v>
      </c>
      <c r="E352" t="s">
        <v>12</v>
      </c>
      <c r="F352" s="6">
        <v>36</v>
      </c>
      <c r="G352" s="6">
        <v>0</v>
      </c>
      <c r="H352" s="6">
        <v>0</v>
      </c>
      <c r="I352" s="6">
        <v>0</v>
      </c>
      <c r="J352" s="6">
        <v>400</v>
      </c>
      <c r="K352" s="6">
        <v>0</v>
      </c>
      <c r="L352" s="6">
        <v>0</v>
      </c>
      <c r="M352" s="6">
        <v>0</v>
      </c>
      <c r="N352" s="6">
        <v>0</v>
      </c>
      <c r="O352" s="6" t="s">
        <v>19</v>
      </c>
    </row>
    <row r="353" spans="4:15">
      <c r="D353">
        <v>4</v>
      </c>
      <c r="E353" t="s">
        <v>15</v>
      </c>
      <c r="F353" s="6">
        <v>0</v>
      </c>
    </row>
    <row r="354" spans="4:15">
      <c r="D354">
        <v>8</v>
      </c>
      <c r="E354" t="s">
        <v>14</v>
      </c>
      <c r="F354" s="6">
        <v>0</v>
      </c>
      <c r="G354" s="6">
        <v>2</v>
      </c>
      <c r="H354" s="6">
        <v>0</v>
      </c>
      <c r="I354" s="6">
        <v>0</v>
      </c>
      <c r="J354" s="6">
        <v>0</v>
      </c>
    </row>
    <row r="355" spans="4:15">
      <c r="D355">
        <v>4</v>
      </c>
      <c r="E355" t="s">
        <v>15</v>
      </c>
      <c r="F355" s="6">
        <v>1</v>
      </c>
    </row>
    <row r="356" spans="4:15">
      <c r="D356">
        <v>7</v>
      </c>
      <c r="E356" t="s">
        <v>11</v>
      </c>
      <c r="F356" s="6">
        <v>0</v>
      </c>
      <c r="G356" s="6">
        <v>0</v>
      </c>
      <c r="H356" s="6">
        <v>0</v>
      </c>
      <c r="I356" s="6">
        <v>0</v>
      </c>
    </row>
    <row r="357" spans="4:15">
      <c r="D357">
        <v>4</v>
      </c>
      <c r="E357" t="s">
        <v>15</v>
      </c>
      <c r="F357" s="6">
        <v>2</v>
      </c>
    </row>
    <row r="358" spans="4:15">
      <c r="D358">
        <v>5</v>
      </c>
      <c r="E358" s="48" t="s">
        <v>59</v>
      </c>
      <c r="F358" s="6">
        <v>1</v>
      </c>
      <c r="G358" s="6">
        <v>0</v>
      </c>
    </row>
    <row r="359" spans="4:15" s="48" customFormat="1">
      <c r="D359" s="49">
        <v>18</v>
      </c>
      <c r="E359" s="49" t="s">
        <v>111</v>
      </c>
      <c r="F359" s="49">
        <v>20</v>
      </c>
      <c r="G359" s="49">
        <v>40</v>
      </c>
      <c r="H359" s="49">
        <v>125</v>
      </c>
      <c r="I359" s="49">
        <v>590</v>
      </c>
      <c r="J359" s="49">
        <v>125</v>
      </c>
      <c r="K359" s="6"/>
      <c r="L359" s="6"/>
      <c r="M359" s="6"/>
      <c r="N359" s="6"/>
      <c r="O359" s="6"/>
    </row>
    <row r="360" spans="4:15" s="48" customFormat="1">
      <c r="D360" s="49">
        <v>18</v>
      </c>
      <c r="E360" s="49" t="s">
        <v>111</v>
      </c>
      <c r="F360" s="49">
        <v>20</v>
      </c>
      <c r="G360" s="49">
        <v>50</v>
      </c>
      <c r="H360" s="49">
        <v>210</v>
      </c>
      <c r="I360" s="49">
        <v>50</v>
      </c>
      <c r="J360" s="49">
        <v>10</v>
      </c>
      <c r="K360" s="6"/>
      <c r="L360" s="6"/>
      <c r="M360" s="6"/>
      <c r="N360" s="6"/>
      <c r="O360" s="6"/>
    </row>
    <row r="361" spans="4:15">
      <c r="D361">
        <f>ROUNDUP(6+F361/2,0)</f>
        <v>11</v>
      </c>
      <c r="E361" t="s">
        <v>6</v>
      </c>
      <c r="F361" s="6">
        <f>LEN(G361)</f>
        <v>9</v>
      </c>
      <c r="G361" s="6" t="s">
        <v>55</v>
      </c>
      <c r="H361" s="6">
        <f>J360</f>
        <v>10</v>
      </c>
      <c r="I361" s="6">
        <f>I360+15</f>
        <v>65</v>
      </c>
    </row>
    <row r="362" spans="4:15">
      <c r="D362">
        <f>ROUNDUP(6+F362/2,0)</f>
        <v>7</v>
      </c>
      <c r="E362" t="s">
        <v>6</v>
      </c>
      <c r="F362" s="6">
        <f>LEN(G362)</f>
        <v>1</v>
      </c>
      <c r="G362" s="6" t="s">
        <v>22</v>
      </c>
      <c r="H362" s="6">
        <f>H359-15</f>
        <v>110</v>
      </c>
      <c r="I362" s="6">
        <f>I359+5</f>
        <v>595</v>
      </c>
    </row>
    <row r="363" spans="4:15">
      <c r="D363">
        <v>8</v>
      </c>
      <c r="E363" t="s">
        <v>1</v>
      </c>
      <c r="F363" s="6">
        <v>2</v>
      </c>
      <c r="G363" s="6">
        <v>40</v>
      </c>
      <c r="H363" s="6">
        <v>50</v>
      </c>
      <c r="I363" s="6">
        <v>60</v>
      </c>
      <c r="J363" s="6">
        <f>H363</f>
        <v>50</v>
      </c>
    </row>
    <row r="364" spans="4:15">
      <c r="D364">
        <v>8</v>
      </c>
      <c r="E364" t="s">
        <v>1</v>
      </c>
      <c r="F364" s="6">
        <v>2</v>
      </c>
      <c r="G364" s="6">
        <f>G363</f>
        <v>40</v>
      </c>
      <c r="H364" s="6">
        <v>200</v>
      </c>
      <c r="I364" s="6">
        <f>I363</f>
        <v>60</v>
      </c>
      <c r="J364" s="6">
        <f>H364</f>
        <v>200</v>
      </c>
    </row>
    <row r="365" spans="4:15">
      <c r="D365">
        <f>ROUNDUP(6+F365/2,0)</f>
        <v>7</v>
      </c>
      <c r="E365" t="s">
        <v>6</v>
      </c>
      <c r="F365" s="6">
        <f>LEN(G365)</f>
        <v>1</v>
      </c>
      <c r="G365" s="32">
        <v>1</v>
      </c>
      <c r="H365" s="6">
        <v>35</v>
      </c>
      <c r="I365" s="6">
        <v>20</v>
      </c>
    </row>
    <row r="366" spans="4:15">
      <c r="D366">
        <f>ROUNDUP(6+F366/2,0)</f>
        <v>7</v>
      </c>
      <c r="E366" t="s">
        <v>6</v>
      </c>
      <c r="F366" s="6">
        <f>LEN(G366)</f>
        <v>2</v>
      </c>
      <c r="G366" s="6">
        <v>-1</v>
      </c>
      <c r="H366" s="6">
        <v>185</v>
      </c>
      <c r="I366" s="6">
        <v>10</v>
      </c>
    </row>
    <row r="367" spans="4:15">
      <c r="D367">
        <f>ROUNDUP(6+F367/2,0)</f>
        <v>7</v>
      </c>
      <c r="E367" t="s">
        <v>6</v>
      </c>
      <c r="F367" s="6">
        <f>LEN(G367)</f>
        <v>1</v>
      </c>
      <c r="G367" s="6">
        <v>1</v>
      </c>
      <c r="H367" s="6">
        <v>130</v>
      </c>
      <c r="I367" s="6">
        <v>545</v>
      </c>
    </row>
    <row r="368" spans="4:15">
      <c r="D368">
        <v>7</v>
      </c>
      <c r="E368" t="s">
        <v>11</v>
      </c>
      <c r="F368" s="6">
        <v>0</v>
      </c>
      <c r="G368" s="6">
        <f>255*256+192</f>
        <v>65472</v>
      </c>
      <c r="H368" s="6">
        <v>192</v>
      </c>
      <c r="I368" s="6">
        <v>0</v>
      </c>
    </row>
    <row r="369" spans="1:15">
      <c r="D369">
        <v>4</v>
      </c>
      <c r="E369" t="s">
        <v>15</v>
      </c>
      <c r="F369" s="6">
        <v>3</v>
      </c>
    </row>
    <row r="370" spans="1:15">
      <c r="D370">
        <v>12</v>
      </c>
      <c r="E370" t="s">
        <v>4</v>
      </c>
      <c r="F370" s="6">
        <v>4</v>
      </c>
      <c r="G370" s="6">
        <v>50</v>
      </c>
      <c r="H370" s="6">
        <v>125</v>
      </c>
      <c r="I370" s="6">
        <v>50</v>
      </c>
      <c r="J370" s="6">
        <v>200</v>
      </c>
      <c r="K370" s="6">
        <v>550</v>
      </c>
      <c r="L370" s="6">
        <v>50</v>
      </c>
      <c r="M370" s="6">
        <v>550</v>
      </c>
      <c r="N370" s="6">
        <v>125</v>
      </c>
    </row>
    <row r="373" spans="1:15">
      <c r="A373" s="48" t="s">
        <v>383</v>
      </c>
      <c r="B373" s="1" t="s">
        <v>57</v>
      </c>
      <c r="D373" t="s">
        <v>449</v>
      </c>
      <c r="E373">
        <v>52695</v>
      </c>
      <c r="F373" s="6">
        <v>39622</v>
      </c>
      <c r="G373" s="6">
        <v>0</v>
      </c>
      <c r="H373" s="6">
        <v>0</v>
      </c>
      <c r="I373" s="6">
        <v>0</v>
      </c>
      <c r="J373" s="6">
        <v>1220</v>
      </c>
      <c r="K373" s="6">
        <v>220</v>
      </c>
      <c r="L373" s="6">
        <v>192</v>
      </c>
      <c r="M373" s="6">
        <v>0</v>
      </c>
      <c r="N373" s="6">
        <v>0</v>
      </c>
      <c r="O373" s="6" t="e">
        <f ca="1">checksummeint(G373,H373,I373,J373,K373,L373,M373,N373)</f>
        <v>#NAME?</v>
      </c>
    </row>
    <row r="374" spans="1:15">
      <c r="D374">
        <v>28</v>
      </c>
      <c r="E374" t="s">
        <v>12</v>
      </c>
      <c r="F374" s="6">
        <v>36</v>
      </c>
      <c r="G374" s="6">
        <v>0</v>
      </c>
      <c r="H374" s="6">
        <v>0</v>
      </c>
      <c r="I374" s="6">
        <v>0</v>
      </c>
      <c r="J374" s="6">
        <v>400</v>
      </c>
      <c r="K374" s="6">
        <v>0</v>
      </c>
      <c r="L374" s="6">
        <v>0</v>
      </c>
      <c r="M374" s="6">
        <v>0</v>
      </c>
      <c r="N374" s="6">
        <v>0</v>
      </c>
      <c r="O374" s="6" t="s">
        <v>19</v>
      </c>
    </row>
    <row r="375" spans="1:15">
      <c r="D375">
        <v>4</v>
      </c>
      <c r="E375" t="s">
        <v>15</v>
      </c>
      <c r="F375" s="6">
        <v>0</v>
      </c>
    </row>
    <row r="376" spans="1:15">
      <c r="D376">
        <v>8</v>
      </c>
      <c r="E376" t="s">
        <v>14</v>
      </c>
      <c r="F376" s="6">
        <v>0</v>
      </c>
      <c r="G376" s="6">
        <v>2</v>
      </c>
      <c r="H376" s="6">
        <v>0</v>
      </c>
      <c r="I376" s="6">
        <v>0</v>
      </c>
      <c r="J376" s="6">
        <v>0</v>
      </c>
    </row>
    <row r="377" spans="1:15">
      <c r="D377">
        <v>4</v>
      </c>
      <c r="E377" t="s">
        <v>15</v>
      </c>
      <c r="F377" s="6">
        <v>1</v>
      </c>
    </row>
    <row r="378" spans="1:15">
      <c r="D378">
        <v>7</v>
      </c>
      <c r="E378" t="s">
        <v>11</v>
      </c>
      <c r="F378" s="6">
        <v>0</v>
      </c>
      <c r="G378" s="6">
        <v>0</v>
      </c>
      <c r="H378" s="6">
        <v>0</v>
      </c>
      <c r="I378" s="6">
        <v>0</v>
      </c>
    </row>
    <row r="379" spans="1:15">
      <c r="D379">
        <v>4</v>
      </c>
      <c r="E379" t="s">
        <v>15</v>
      </c>
      <c r="F379" s="6">
        <v>2</v>
      </c>
    </row>
    <row r="380" spans="1:15">
      <c r="D380">
        <v>5</v>
      </c>
      <c r="E380" s="48" t="s">
        <v>59</v>
      </c>
      <c r="F380" s="6">
        <v>1</v>
      </c>
      <c r="G380" s="6">
        <v>0</v>
      </c>
    </row>
    <row r="381" spans="1:15">
      <c r="D381">
        <v>18</v>
      </c>
      <c r="E381" s="1" t="s">
        <v>111</v>
      </c>
      <c r="F381" s="6">
        <v>20</v>
      </c>
      <c r="G381" s="6">
        <v>40</v>
      </c>
      <c r="H381" s="6">
        <v>125</v>
      </c>
      <c r="I381" s="6">
        <v>590</v>
      </c>
      <c r="J381" s="6">
        <f>H381</f>
        <v>125</v>
      </c>
    </row>
    <row r="382" spans="1:15">
      <c r="D382">
        <v>18</v>
      </c>
      <c r="E382" s="1" t="s">
        <v>111</v>
      </c>
      <c r="F382" s="6">
        <v>20</v>
      </c>
      <c r="G382" s="6">
        <v>300</v>
      </c>
      <c r="H382" s="6">
        <v>210</v>
      </c>
      <c r="I382" s="6">
        <f>G382</f>
        <v>300</v>
      </c>
      <c r="J382" s="6">
        <v>10</v>
      </c>
    </row>
    <row r="383" spans="1:15">
      <c r="D383">
        <v>18</v>
      </c>
      <c r="E383" s="1" t="s">
        <v>111</v>
      </c>
      <c r="F383" s="6">
        <v>20</v>
      </c>
      <c r="G383" s="6">
        <v>640</v>
      </c>
      <c r="H383" s="6">
        <f>H381</f>
        <v>125</v>
      </c>
      <c r="I383" s="6">
        <f>I381+600</f>
        <v>1190</v>
      </c>
      <c r="J383" s="6">
        <f>H383</f>
        <v>125</v>
      </c>
    </row>
    <row r="384" spans="1:15">
      <c r="D384">
        <v>18</v>
      </c>
      <c r="E384" s="1" t="s">
        <v>111</v>
      </c>
      <c r="F384" s="6">
        <v>20</v>
      </c>
      <c r="G384" s="6">
        <v>650</v>
      </c>
      <c r="H384" s="6">
        <f>H382</f>
        <v>210</v>
      </c>
      <c r="I384" s="6">
        <f>G384</f>
        <v>650</v>
      </c>
      <c r="J384" s="6">
        <f>J382</f>
        <v>10</v>
      </c>
    </row>
    <row r="385" spans="1:60">
      <c r="E385" t="s">
        <v>515</v>
      </c>
      <c r="F385" s="6" t="s">
        <v>541</v>
      </c>
      <c r="G385" s="6">
        <f>I382+15</f>
        <v>315</v>
      </c>
      <c r="H385" s="6">
        <f>J382</f>
        <v>10</v>
      </c>
      <c r="I385" s="6">
        <f>G385+350</f>
        <v>665</v>
      </c>
    </row>
    <row r="386" spans="1:60">
      <c r="E386" t="s">
        <v>515</v>
      </c>
      <c r="F386" s="6" t="s">
        <v>542</v>
      </c>
      <c r="G386" s="6">
        <f>I381+5</f>
        <v>595</v>
      </c>
      <c r="H386" s="6">
        <f>H381-15</f>
        <v>110</v>
      </c>
      <c r="I386" s="6">
        <f>G386+600</f>
        <v>1195</v>
      </c>
    </row>
    <row r="387" spans="1:60">
      <c r="D387">
        <v>8</v>
      </c>
      <c r="E387" t="s">
        <v>1</v>
      </c>
      <c r="F387" s="6">
        <v>2</v>
      </c>
      <c r="G387" s="6">
        <v>290</v>
      </c>
      <c r="H387" s="6">
        <v>50</v>
      </c>
      <c r="I387" s="6">
        <f>G387+20</f>
        <v>310</v>
      </c>
      <c r="J387" s="6">
        <f>H387</f>
        <v>50</v>
      </c>
    </row>
    <row r="388" spans="1:60">
      <c r="D388">
        <v>8</v>
      </c>
      <c r="E388" t="s">
        <v>1</v>
      </c>
      <c r="F388" s="6">
        <v>2</v>
      </c>
      <c r="G388" s="6">
        <f>G387</f>
        <v>290</v>
      </c>
      <c r="H388" s="6">
        <v>200</v>
      </c>
      <c r="I388" s="6">
        <f>G388+20</f>
        <v>310</v>
      </c>
      <c r="J388" s="6">
        <f>H388</f>
        <v>200</v>
      </c>
    </row>
    <row r="389" spans="1:60">
      <c r="D389">
        <v>8</v>
      </c>
      <c r="E389" t="s">
        <v>1</v>
      </c>
      <c r="F389" s="6">
        <v>2</v>
      </c>
      <c r="G389" s="6">
        <v>640</v>
      </c>
      <c r="H389" s="6">
        <f>H387</f>
        <v>50</v>
      </c>
      <c r="I389" s="6">
        <f>G389+20</f>
        <v>660</v>
      </c>
      <c r="J389" s="6">
        <f>H389</f>
        <v>50</v>
      </c>
    </row>
    <row r="390" spans="1:60">
      <c r="D390">
        <v>8</v>
      </c>
      <c r="E390" t="s">
        <v>1</v>
      </c>
      <c r="F390" s="6">
        <v>2</v>
      </c>
      <c r="G390" s="6">
        <f>G389</f>
        <v>640</v>
      </c>
      <c r="H390" s="6">
        <f>H388</f>
        <v>200</v>
      </c>
      <c r="I390" s="6">
        <f>G390+20</f>
        <v>660</v>
      </c>
      <c r="J390" s="6">
        <f>H390</f>
        <v>200</v>
      </c>
    </row>
    <row r="391" spans="1:60">
      <c r="E391" t="s">
        <v>515</v>
      </c>
      <c r="F391" s="6" t="s">
        <v>543</v>
      </c>
      <c r="G391" s="6">
        <v>270</v>
      </c>
      <c r="H391" s="6">
        <v>35</v>
      </c>
      <c r="I391" s="6">
        <v>620</v>
      </c>
    </row>
    <row r="392" spans="1:60">
      <c r="E392" t="s">
        <v>515</v>
      </c>
      <c r="F392" s="32" t="s">
        <v>544</v>
      </c>
      <c r="G392" s="6">
        <v>260</v>
      </c>
      <c r="H392" s="6">
        <v>185</v>
      </c>
      <c r="I392" s="6">
        <v>610</v>
      </c>
    </row>
    <row r="393" spans="1:60">
      <c r="E393" t="s">
        <v>515</v>
      </c>
      <c r="F393" s="6" t="s">
        <v>543</v>
      </c>
      <c r="G393" s="6">
        <v>545</v>
      </c>
      <c r="H393" s="6">
        <v>130</v>
      </c>
      <c r="I393" s="6">
        <v>1145</v>
      </c>
    </row>
    <row r="394" spans="1:60">
      <c r="D394">
        <v>7</v>
      </c>
      <c r="E394" t="s">
        <v>11</v>
      </c>
      <c r="F394" s="6">
        <v>0</v>
      </c>
      <c r="G394" s="6">
        <f>255*256+192</f>
        <v>65472</v>
      </c>
      <c r="H394" s="6">
        <v>192</v>
      </c>
      <c r="I394" s="6">
        <v>0</v>
      </c>
    </row>
    <row r="395" spans="1:60">
      <c r="D395">
        <v>4</v>
      </c>
      <c r="E395" t="s">
        <v>15</v>
      </c>
      <c r="F395" s="6">
        <v>3</v>
      </c>
    </row>
    <row r="396" spans="1:60">
      <c r="D396">
        <v>50</v>
      </c>
      <c r="E396" t="s">
        <v>4</v>
      </c>
      <c r="F396" s="6">
        <v>23</v>
      </c>
      <c r="G396" s="6">
        <v>50</v>
      </c>
      <c r="H396" s="6">
        <v>200</v>
      </c>
      <c r="I396" s="6">
        <v>75</v>
      </c>
      <c r="J396" s="6">
        <v>192</v>
      </c>
      <c r="K396" s="6">
        <v>100</v>
      </c>
      <c r="L396" s="6">
        <v>184</v>
      </c>
      <c r="M396" s="6">
        <v>125</v>
      </c>
      <c r="N396" s="6">
        <v>176</v>
      </c>
      <c r="O396" s="6">
        <v>150</v>
      </c>
      <c r="P396">
        <v>168</v>
      </c>
      <c r="Q396">
        <v>175</v>
      </c>
      <c r="R396">
        <v>160</v>
      </c>
      <c r="S396">
        <v>200</v>
      </c>
      <c r="T396">
        <v>152</v>
      </c>
      <c r="U396">
        <v>225</v>
      </c>
      <c r="V396">
        <v>145</v>
      </c>
      <c r="W396">
        <v>250</v>
      </c>
      <c r="X396">
        <v>138</v>
      </c>
      <c r="Y396">
        <v>275</v>
      </c>
      <c r="Z396">
        <v>131</v>
      </c>
      <c r="AA396">
        <v>300</v>
      </c>
      <c r="AB396">
        <v>125</v>
      </c>
      <c r="AC396">
        <v>325</v>
      </c>
      <c r="AD396">
        <v>119</v>
      </c>
      <c r="AE396">
        <v>350</v>
      </c>
      <c r="AF396">
        <v>112</v>
      </c>
      <c r="AG396">
        <v>375</v>
      </c>
      <c r="AH396">
        <v>105</v>
      </c>
      <c r="AI396">
        <v>400</v>
      </c>
      <c r="AJ396">
        <v>98</v>
      </c>
      <c r="AK396">
        <v>425</v>
      </c>
      <c r="AL396">
        <v>90</v>
      </c>
      <c r="AM396">
        <v>450</v>
      </c>
      <c r="AN396">
        <v>82</v>
      </c>
      <c r="AO396">
        <v>475</v>
      </c>
      <c r="AP396">
        <v>74</v>
      </c>
      <c r="AQ396">
        <v>500</v>
      </c>
      <c r="AR396">
        <v>66</v>
      </c>
      <c r="AS396">
        <v>525</v>
      </c>
      <c r="AT396">
        <v>58</v>
      </c>
      <c r="AU396">
        <v>550</v>
      </c>
      <c r="AV396">
        <v>50</v>
      </c>
      <c r="AW396">
        <v>550</v>
      </c>
      <c r="AX396">
        <v>125</v>
      </c>
      <c r="AY396">
        <v>50</v>
      </c>
      <c r="AZ396">
        <v>125</v>
      </c>
    </row>
    <row r="397" spans="1:60">
      <c r="D397">
        <v>46</v>
      </c>
      <c r="E397" t="s">
        <v>4</v>
      </c>
      <c r="F397" s="6">
        <v>21</v>
      </c>
      <c r="G397" s="6">
        <v>650</v>
      </c>
      <c r="H397" s="6">
        <v>125</v>
      </c>
      <c r="I397" s="6">
        <v>675</v>
      </c>
      <c r="J397" s="6">
        <v>124</v>
      </c>
      <c r="K397" s="6">
        <v>700</v>
      </c>
      <c r="L397" s="6">
        <v>124</v>
      </c>
      <c r="M397" s="6">
        <v>725</v>
      </c>
      <c r="N397" s="6">
        <v>123</v>
      </c>
      <c r="O397" s="6">
        <v>750</v>
      </c>
      <c r="P397">
        <v>123</v>
      </c>
      <c r="Q397">
        <v>775</v>
      </c>
      <c r="R397">
        <v>122</v>
      </c>
      <c r="S397">
        <v>800</v>
      </c>
      <c r="T397">
        <v>122</v>
      </c>
      <c r="U397">
        <v>825</v>
      </c>
      <c r="V397">
        <v>122</v>
      </c>
      <c r="W397">
        <v>850</v>
      </c>
      <c r="X397">
        <v>123</v>
      </c>
      <c r="Y397">
        <v>875</v>
      </c>
      <c r="Z397">
        <v>123</v>
      </c>
      <c r="AA397">
        <v>900</v>
      </c>
      <c r="AB397">
        <v>125</v>
      </c>
      <c r="AC397">
        <v>925</v>
      </c>
      <c r="AD397">
        <v>127</v>
      </c>
      <c r="AE397">
        <v>950</v>
      </c>
      <c r="AF397">
        <v>127</v>
      </c>
      <c r="AG397">
        <v>975</v>
      </c>
      <c r="AH397">
        <v>128</v>
      </c>
      <c r="AI397">
        <v>1000</v>
      </c>
      <c r="AJ397">
        <v>128</v>
      </c>
      <c r="AK397">
        <v>1025</v>
      </c>
      <c r="AL397">
        <v>128</v>
      </c>
      <c r="AM397">
        <v>1050</v>
      </c>
      <c r="AN397">
        <v>127</v>
      </c>
      <c r="AO397">
        <v>1075</v>
      </c>
      <c r="AP397">
        <v>127</v>
      </c>
      <c r="AQ397">
        <v>1100</v>
      </c>
      <c r="AR397">
        <v>126</v>
      </c>
      <c r="AS397">
        <v>1125</v>
      </c>
      <c r="AT397">
        <v>126</v>
      </c>
      <c r="AU397">
        <v>1150</v>
      </c>
      <c r="AV397">
        <v>125</v>
      </c>
    </row>
    <row r="400" spans="1:60">
      <c r="A400" s="48" t="s">
        <v>383</v>
      </c>
      <c r="B400" s="1" t="s">
        <v>58</v>
      </c>
      <c r="D400" s="48" t="s">
        <v>449</v>
      </c>
      <c r="E400" s="48">
        <v>52695</v>
      </c>
      <c r="F400" s="6">
        <v>39622</v>
      </c>
      <c r="G400" s="6">
        <v>0</v>
      </c>
      <c r="H400" s="6">
        <v>0</v>
      </c>
      <c r="I400" s="6">
        <v>0</v>
      </c>
      <c r="J400" s="6">
        <v>1252</v>
      </c>
      <c r="K400" s="6">
        <v>1022</v>
      </c>
      <c r="L400" s="6">
        <v>384</v>
      </c>
      <c r="M400" s="6">
        <v>0</v>
      </c>
      <c r="N400" s="6">
        <v>0</v>
      </c>
      <c r="O400" s="6" t="e">
        <f ca="1">checksummeint(G400,H400,I400,J400,K400,L400,M400,N400)</f>
        <v>#NAME?</v>
      </c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</row>
    <row r="401" spans="4:60">
      <c r="D401" s="48">
        <v>28</v>
      </c>
      <c r="E401" s="48" t="s">
        <v>12</v>
      </c>
      <c r="F401" s="6">
        <v>18</v>
      </c>
      <c r="G401" s="6">
        <v>0</v>
      </c>
      <c r="H401" s="6">
        <v>0</v>
      </c>
      <c r="I401" s="6">
        <v>0</v>
      </c>
      <c r="J401" s="6">
        <v>400</v>
      </c>
      <c r="K401" s="6">
        <v>0</v>
      </c>
      <c r="L401" s="6">
        <v>0</v>
      </c>
      <c r="M401" s="6">
        <v>0</v>
      </c>
      <c r="N401" s="6">
        <v>0</v>
      </c>
      <c r="O401" s="6" t="s">
        <v>19</v>
      </c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</row>
    <row r="402" spans="4:60">
      <c r="D402" s="48">
        <v>4</v>
      </c>
      <c r="E402" s="48" t="s">
        <v>15</v>
      </c>
      <c r="F402" s="6">
        <v>0</v>
      </c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</row>
    <row r="403" spans="4:60">
      <c r="D403" s="48">
        <v>8</v>
      </c>
      <c r="E403" s="48" t="s">
        <v>14</v>
      </c>
      <c r="F403" s="6">
        <v>0</v>
      </c>
      <c r="G403" s="6">
        <v>1</v>
      </c>
      <c r="H403" s="6">
        <v>0</v>
      </c>
      <c r="I403" s="6">
        <f>127*257</f>
        <v>32639</v>
      </c>
      <c r="J403" s="6">
        <v>127</v>
      </c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</row>
    <row r="404" spans="4:60">
      <c r="D404" s="48">
        <v>4</v>
      </c>
      <c r="E404" s="48" t="s">
        <v>15</v>
      </c>
      <c r="F404" s="6">
        <v>1</v>
      </c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</row>
    <row r="405" spans="4:60">
      <c r="D405" s="48">
        <v>5</v>
      </c>
      <c r="E405" s="48" t="s">
        <v>59</v>
      </c>
      <c r="F405" s="6">
        <v>1</v>
      </c>
      <c r="G405" s="6">
        <v>0</v>
      </c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</row>
    <row r="406" spans="4:60">
      <c r="D406" s="48">
        <f>D412</f>
        <v>8</v>
      </c>
      <c r="E406" s="48" t="str">
        <f>E412</f>
        <v>Polylinie</v>
      </c>
      <c r="F406" s="6">
        <f>F412</f>
        <v>2</v>
      </c>
      <c r="G406" s="6">
        <f>G412</f>
        <v>10</v>
      </c>
      <c r="H406" s="6">
        <f>H412+23</f>
        <v>53</v>
      </c>
      <c r="I406" s="6">
        <f>I412</f>
        <v>1249</v>
      </c>
      <c r="J406" s="6">
        <f>H406</f>
        <v>53</v>
      </c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</row>
    <row r="407" spans="4:60">
      <c r="D407" s="48"/>
      <c r="E407" s="49" t="s">
        <v>768</v>
      </c>
      <c r="F407" s="49">
        <v>1</v>
      </c>
      <c r="G407" s="49">
        <v>0</v>
      </c>
      <c r="H407" s="50">
        <v>23</v>
      </c>
      <c r="I407" s="50">
        <v>41</v>
      </c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</row>
    <row r="408" spans="4:60">
      <c r="D408" s="48">
        <v>8</v>
      </c>
      <c r="E408" s="48" t="s">
        <v>1</v>
      </c>
      <c r="F408" s="6">
        <v>2</v>
      </c>
      <c r="G408" s="6">
        <f>G414+23</f>
        <v>53</v>
      </c>
      <c r="H408" s="6">
        <f>H414</f>
        <v>10</v>
      </c>
      <c r="I408" s="6">
        <f>G408</f>
        <v>53</v>
      </c>
      <c r="J408" s="6">
        <f>J414</f>
        <v>1019</v>
      </c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</row>
    <row r="409" spans="4:60">
      <c r="D409" s="48"/>
      <c r="E409" s="49" t="s">
        <v>768</v>
      </c>
      <c r="F409" s="49">
        <v>1</v>
      </c>
      <c r="G409" s="49">
        <v>23</v>
      </c>
      <c r="H409" s="50">
        <v>0</v>
      </c>
      <c r="I409" s="50">
        <v>51</v>
      </c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</row>
    <row r="410" spans="4:60">
      <c r="D410" s="48">
        <v>8</v>
      </c>
      <c r="E410" s="48" t="s">
        <v>14</v>
      </c>
      <c r="F410" s="6">
        <v>0</v>
      </c>
      <c r="G410" s="6">
        <v>3</v>
      </c>
      <c r="H410" s="6">
        <v>0</v>
      </c>
      <c r="I410" s="6">
        <v>0</v>
      </c>
      <c r="J410" s="6">
        <v>0</v>
      </c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</row>
    <row r="411" spans="4:60">
      <c r="D411" s="48">
        <v>4</v>
      </c>
      <c r="E411" s="48" t="s">
        <v>15</v>
      </c>
      <c r="F411" s="6">
        <v>2</v>
      </c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</row>
    <row r="412" spans="4:60">
      <c r="D412" s="48">
        <f>F412*2+4</f>
        <v>8</v>
      </c>
      <c r="E412" s="48" t="s">
        <v>1</v>
      </c>
      <c r="F412" s="6">
        <v>2</v>
      </c>
      <c r="G412" s="6">
        <f>H412-20</f>
        <v>10</v>
      </c>
      <c r="H412" s="6">
        <v>30</v>
      </c>
      <c r="I412" s="6">
        <f>H412+23*53</f>
        <v>1249</v>
      </c>
      <c r="J412" s="6">
        <f>H412</f>
        <v>30</v>
      </c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</row>
    <row r="413" spans="4:60">
      <c r="D413" s="48">
        <f>D412</f>
        <v>8</v>
      </c>
      <c r="E413" s="48" t="str">
        <f>E412</f>
        <v>Polylinie</v>
      </c>
      <c r="F413" s="6">
        <f>F412</f>
        <v>2</v>
      </c>
      <c r="G413" s="6">
        <f>G412</f>
        <v>10</v>
      </c>
      <c r="H413" s="6">
        <f>H412+23*43</f>
        <v>1019</v>
      </c>
      <c r="I413" s="6">
        <f>I412</f>
        <v>1249</v>
      </c>
      <c r="J413" s="6">
        <f>H413</f>
        <v>1019</v>
      </c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</row>
    <row r="414" spans="4:60">
      <c r="D414" s="48">
        <f t="shared" ref="D414:F415" si="8">D413</f>
        <v>8</v>
      </c>
      <c r="E414" s="48" t="str">
        <f t="shared" si="8"/>
        <v>Polylinie</v>
      </c>
      <c r="F414" s="6">
        <f t="shared" si="8"/>
        <v>2</v>
      </c>
      <c r="G414" s="6">
        <f>H412</f>
        <v>30</v>
      </c>
      <c r="H414" s="6">
        <f>G412</f>
        <v>10</v>
      </c>
      <c r="I414" s="6">
        <f>G414</f>
        <v>30</v>
      </c>
      <c r="J414" s="6">
        <f>H413</f>
        <v>1019</v>
      </c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</row>
    <row r="415" spans="4:60">
      <c r="D415" s="48">
        <f t="shared" si="8"/>
        <v>8</v>
      </c>
      <c r="E415" s="48" t="str">
        <f t="shared" si="8"/>
        <v>Polylinie</v>
      </c>
      <c r="F415" s="6">
        <f t="shared" si="8"/>
        <v>2</v>
      </c>
      <c r="G415" s="6">
        <f>I412</f>
        <v>1249</v>
      </c>
      <c r="H415" s="6">
        <f>H414</f>
        <v>10</v>
      </c>
      <c r="I415" s="6">
        <f>G415</f>
        <v>1249</v>
      </c>
      <c r="J415" s="6">
        <f>J414</f>
        <v>1019</v>
      </c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</row>
    <row r="416" spans="4:60">
      <c r="D416" s="48"/>
      <c r="E416" s="48" t="s">
        <v>517</v>
      </c>
      <c r="F416" s="6" t="s">
        <v>545</v>
      </c>
      <c r="G416" s="6">
        <v>5</v>
      </c>
      <c r="H416" s="6">
        <f>H412+4</f>
        <v>34</v>
      </c>
      <c r="I416" s="6">
        <f>H416+23</f>
        <v>57</v>
      </c>
      <c r="J416" s="6">
        <f t="shared" ref="J416:AX416" si="9">I416+23</f>
        <v>80</v>
      </c>
      <c r="K416" s="6">
        <f t="shared" si="9"/>
        <v>103</v>
      </c>
      <c r="L416" s="6">
        <f t="shared" si="9"/>
        <v>126</v>
      </c>
      <c r="M416" s="6">
        <f t="shared" si="9"/>
        <v>149</v>
      </c>
      <c r="N416" s="6">
        <f t="shared" si="9"/>
        <v>172</v>
      </c>
      <c r="O416" s="6">
        <f t="shared" si="9"/>
        <v>195</v>
      </c>
      <c r="P416" s="6">
        <f t="shared" si="9"/>
        <v>218</v>
      </c>
      <c r="Q416" s="6">
        <f t="shared" si="9"/>
        <v>241</v>
      </c>
      <c r="R416" s="6">
        <f t="shared" si="9"/>
        <v>264</v>
      </c>
      <c r="S416" s="6">
        <f t="shared" si="9"/>
        <v>287</v>
      </c>
      <c r="T416" s="6">
        <f t="shared" si="9"/>
        <v>310</v>
      </c>
      <c r="U416" s="6">
        <f t="shared" si="9"/>
        <v>333</v>
      </c>
      <c r="V416" s="6">
        <f t="shared" si="9"/>
        <v>356</v>
      </c>
      <c r="W416" s="6">
        <f t="shared" si="9"/>
        <v>379</v>
      </c>
      <c r="X416" s="6">
        <f t="shared" si="9"/>
        <v>402</v>
      </c>
      <c r="Y416" s="6">
        <f t="shared" si="9"/>
        <v>425</v>
      </c>
      <c r="Z416" s="6">
        <f t="shared" si="9"/>
        <v>448</v>
      </c>
      <c r="AA416" s="6">
        <f t="shared" si="9"/>
        <v>471</v>
      </c>
      <c r="AB416" s="6">
        <f t="shared" si="9"/>
        <v>494</v>
      </c>
      <c r="AC416" s="6">
        <f t="shared" si="9"/>
        <v>517</v>
      </c>
      <c r="AD416" s="6">
        <f t="shared" si="9"/>
        <v>540</v>
      </c>
      <c r="AE416" s="6">
        <f t="shared" si="9"/>
        <v>563</v>
      </c>
      <c r="AF416" s="6">
        <f t="shared" si="9"/>
        <v>586</v>
      </c>
      <c r="AG416" s="6">
        <f t="shared" si="9"/>
        <v>609</v>
      </c>
      <c r="AH416" s="6">
        <f t="shared" si="9"/>
        <v>632</v>
      </c>
      <c r="AI416" s="6">
        <f t="shared" si="9"/>
        <v>655</v>
      </c>
      <c r="AJ416" s="6">
        <f t="shared" si="9"/>
        <v>678</v>
      </c>
      <c r="AK416" s="6">
        <f t="shared" si="9"/>
        <v>701</v>
      </c>
      <c r="AL416" s="6">
        <f t="shared" si="9"/>
        <v>724</v>
      </c>
      <c r="AM416" s="6">
        <f t="shared" si="9"/>
        <v>747</v>
      </c>
      <c r="AN416" s="6">
        <f t="shared" si="9"/>
        <v>770</v>
      </c>
      <c r="AO416" s="6">
        <f t="shared" si="9"/>
        <v>793</v>
      </c>
      <c r="AP416" s="6">
        <f t="shared" si="9"/>
        <v>816</v>
      </c>
      <c r="AQ416" s="6">
        <f t="shared" si="9"/>
        <v>839</v>
      </c>
      <c r="AR416" s="6">
        <f t="shared" si="9"/>
        <v>862</v>
      </c>
      <c r="AS416" s="6">
        <f t="shared" si="9"/>
        <v>885</v>
      </c>
      <c r="AT416" s="6">
        <f t="shared" si="9"/>
        <v>908</v>
      </c>
      <c r="AU416" s="6">
        <f t="shared" si="9"/>
        <v>931</v>
      </c>
      <c r="AV416" s="6">
        <f t="shared" si="9"/>
        <v>954</v>
      </c>
      <c r="AW416" s="6">
        <f t="shared" si="9"/>
        <v>977</v>
      </c>
      <c r="AX416" s="6">
        <f t="shared" si="9"/>
        <v>1000</v>
      </c>
      <c r="AY416" s="6"/>
      <c r="AZ416" s="6"/>
      <c r="BA416" s="6"/>
      <c r="BB416" s="6"/>
      <c r="BC416" s="6"/>
      <c r="BD416" s="6"/>
      <c r="BE416" s="6"/>
      <c r="BF416" s="6"/>
      <c r="BG416" s="6"/>
      <c r="BH416" s="6"/>
    </row>
    <row r="417" spans="1:60">
      <c r="D417" s="48">
        <v>28</v>
      </c>
      <c r="E417" s="48" t="s">
        <v>12</v>
      </c>
      <c r="F417" s="6">
        <v>18</v>
      </c>
      <c r="G417" s="6">
        <v>0</v>
      </c>
      <c r="H417" s="6">
        <v>900</v>
      </c>
      <c r="I417" s="6">
        <v>0</v>
      </c>
      <c r="J417" s="6">
        <v>400</v>
      </c>
      <c r="K417" s="6">
        <v>0</v>
      </c>
      <c r="L417" s="6">
        <v>0</v>
      </c>
      <c r="M417" s="6">
        <v>0</v>
      </c>
      <c r="N417" s="6">
        <v>0</v>
      </c>
      <c r="O417" s="6" t="s">
        <v>19</v>
      </c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</row>
    <row r="418" spans="1:60">
      <c r="D418" s="48">
        <v>4</v>
      </c>
      <c r="E418" s="48" t="s">
        <v>15</v>
      </c>
      <c r="F418" s="6">
        <v>3</v>
      </c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</row>
    <row r="419" spans="1:60">
      <c r="D419" s="48"/>
      <c r="E419" s="48" t="s">
        <v>515</v>
      </c>
      <c r="F419" s="6" t="s">
        <v>546</v>
      </c>
      <c r="G419" s="6">
        <f>G414+3</f>
        <v>33</v>
      </c>
      <c r="H419" s="6">
        <f>H412-4</f>
        <v>26</v>
      </c>
      <c r="I419" s="6">
        <f>G419+23</f>
        <v>56</v>
      </c>
      <c r="J419" s="6">
        <f>I419+23</f>
        <v>79</v>
      </c>
      <c r="K419" s="6">
        <f t="shared" ref="K419:BH419" si="10">J419+23</f>
        <v>102</v>
      </c>
      <c r="L419" s="6">
        <f t="shared" si="10"/>
        <v>125</v>
      </c>
      <c r="M419" s="6">
        <f t="shared" si="10"/>
        <v>148</v>
      </c>
      <c r="N419" s="6">
        <f t="shared" si="10"/>
        <v>171</v>
      </c>
      <c r="O419" s="6">
        <f t="shared" si="10"/>
        <v>194</v>
      </c>
      <c r="P419" s="48">
        <f t="shared" si="10"/>
        <v>217</v>
      </c>
      <c r="Q419" s="48">
        <f t="shared" si="10"/>
        <v>240</v>
      </c>
      <c r="R419" s="48">
        <f t="shared" si="10"/>
        <v>263</v>
      </c>
      <c r="S419" s="48">
        <f t="shared" si="10"/>
        <v>286</v>
      </c>
      <c r="T419" s="48">
        <f t="shared" si="10"/>
        <v>309</v>
      </c>
      <c r="U419" s="48">
        <f t="shared" si="10"/>
        <v>332</v>
      </c>
      <c r="V419" s="48">
        <f t="shared" si="10"/>
        <v>355</v>
      </c>
      <c r="W419" s="48">
        <f t="shared" si="10"/>
        <v>378</v>
      </c>
      <c r="X419" s="48">
        <f t="shared" si="10"/>
        <v>401</v>
      </c>
      <c r="Y419" s="48">
        <f t="shared" si="10"/>
        <v>424</v>
      </c>
      <c r="Z419" s="48">
        <f t="shared" si="10"/>
        <v>447</v>
      </c>
      <c r="AA419" s="48">
        <f t="shared" si="10"/>
        <v>470</v>
      </c>
      <c r="AB419" s="48">
        <f t="shared" si="10"/>
        <v>493</v>
      </c>
      <c r="AC419" s="48">
        <f t="shared" si="10"/>
        <v>516</v>
      </c>
      <c r="AD419" s="48">
        <f t="shared" si="10"/>
        <v>539</v>
      </c>
      <c r="AE419" s="48">
        <f t="shared" si="10"/>
        <v>562</v>
      </c>
      <c r="AF419" s="48">
        <f t="shared" si="10"/>
        <v>585</v>
      </c>
      <c r="AG419" s="48">
        <f t="shared" si="10"/>
        <v>608</v>
      </c>
      <c r="AH419" s="48">
        <f t="shared" si="10"/>
        <v>631</v>
      </c>
      <c r="AI419" s="48">
        <f t="shared" si="10"/>
        <v>654</v>
      </c>
      <c r="AJ419" s="48">
        <f t="shared" si="10"/>
        <v>677</v>
      </c>
      <c r="AK419" s="48">
        <f t="shared" si="10"/>
        <v>700</v>
      </c>
      <c r="AL419" s="48">
        <f t="shared" si="10"/>
        <v>723</v>
      </c>
      <c r="AM419" s="48">
        <f t="shared" si="10"/>
        <v>746</v>
      </c>
      <c r="AN419" s="48">
        <f t="shared" si="10"/>
        <v>769</v>
      </c>
      <c r="AO419" s="48">
        <f t="shared" si="10"/>
        <v>792</v>
      </c>
      <c r="AP419" s="48">
        <f t="shared" si="10"/>
        <v>815</v>
      </c>
      <c r="AQ419" s="48">
        <f t="shared" si="10"/>
        <v>838</v>
      </c>
      <c r="AR419" s="48">
        <f t="shared" si="10"/>
        <v>861</v>
      </c>
      <c r="AS419" s="48">
        <f t="shared" si="10"/>
        <v>884</v>
      </c>
      <c r="AT419" s="48">
        <f t="shared" si="10"/>
        <v>907</v>
      </c>
      <c r="AU419" s="48">
        <f t="shared" si="10"/>
        <v>930</v>
      </c>
      <c r="AV419" s="48">
        <f t="shared" si="10"/>
        <v>953</v>
      </c>
      <c r="AW419" s="48">
        <f t="shared" si="10"/>
        <v>976</v>
      </c>
      <c r="AX419" s="48">
        <f t="shared" si="10"/>
        <v>999</v>
      </c>
      <c r="AY419" s="48">
        <f t="shared" si="10"/>
        <v>1022</v>
      </c>
      <c r="AZ419" s="48">
        <f t="shared" si="10"/>
        <v>1045</v>
      </c>
      <c r="BA419" s="48">
        <f t="shared" si="10"/>
        <v>1068</v>
      </c>
      <c r="BB419" s="48">
        <f>BA419+23</f>
        <v>1091</v>
      </c>
      <c r="BC419" s="48">
        <f t="shared" si="10"/>
        <v>1114</v>
      </c>
      <c r="BD419" s="48">
        <f t="shared" si="10"/>
        <v>1137</v>
      </c>
      <c r="BE419" s="48">
        <f t="shared" si="10"/>
        <v>1160</v>
      </c>
      <c r="BF419" s="48">
        <f t="shared" si="10"/>
        <v>1183</v>
      </c>
      <c r="BG419" s="48">
        <f t="shared" si="10"/>
        <v>1206</v>
      </c>
      <c r="BH419" s="48">
        <f t="shared" si="10"/>
        <v>1229</v>
      </c>
    </row>
    <row r="422" spans="1:60">
      <c r="A422" s="48" t="s">
        <v>383</v>
      </c>
      <c r="B422" s="1" t="s">
        <v>62</v>
      </c>
      <c r="D422" t="s">
        <v>449</v>
      </c>
      <c r="E422">
        <v>52695</v>
      </c>
      <c r="F422" s="6">
        <v>39622</v>
      </c>
      <c r="G422" s="6">
        <v>0</v>
      </c>
      <c r="H422" s="6">
        <v>0</v>
      </c>
      <c r="I422" s="6">
        <v>0</v>
      </c>
      <c r="J422" s="6">
        <v>630</v>
      </c>
      <c r="K422" s="6">
        <v>660</v>
      </c>
      <c r="L422" s="6">
        <v>192</v>
      </c>
      <c r="M422" s="6">
        <v>0</v>
      </c>
      <c r="N422" s="6">
        <v>0</v>
      </c>
      <c r="O422" s="6" t="e">
        <f ca="1">checksummeint(G422,H422,I422,J422,K422,L422,M422,N422)</f>
        <v>#NAME?</v>
      </c>
    </row>
    <row r="423" spans="1:60">
      <c r="D423">
        <v>28</v>
      </c>
      <c r="E423" t="s">
        <v>12</v>
      </c>
      <c r="F423" s="6">
        <v>36</v>
      </c>
      <c r="G423" s="6">
        <v>0</v>
      </c>
      <c r="H423" s="6">
        <v>0</v>
      </c>
      <c r="I423" s="6">
        <v>0</v>
      </c>
      <c r="J423" s="6">
        <v>400</v>
      </c>
      <c r="K423" s="6">
        <v>0</v>
      </c>
      <c r="L423" s="6">
        <v>0</v>
      </c>
      <c r="M423" s="6">
        <v>0</v>
      </c>
      <c r="N423" s="6">
        <v>0</v>
      </c>
      <c r="O423" s="6" t="s">
        <v>19</v>
      </c>
    </row>
    <row r="424" spans="1:60">
      <c r="D424">
        <v>4</v>
      </c>
      <c r="E424" t="s">
        <v>15</v>
      </c>
      <c r="F424" s="6">
        <v>0</v>
      </c>
    </row>
    <row r="425" spans="1:60">
      <c r="D425">
        <v>8</v>
      </c>
      <c r="E425" t="s">
        <v>14</v>
      </c>
      <c r="F425" s="6">
        <v>0</v>
      </c>
      <c r="G425" s="6">
        <v>2</v>
      </c>
      <c r="H425" s="6">
        <v>0</v>
      </c>
      <c r="I425" s="6">
        <v>0</v>
      </c>
      <c r="J425" s="6">
        <v>0</v>
      </c>
    </row>
    <row r="426" spans="1:60">
      <c r="D426">
        <v>8</v>
      </c>
      <c r="E426" t="s">
        <v>14</v>
      </c>
      <c r="F426" s="6">
        <v>0</v>
      </c>
      <c r="G426" s="6">
        <v>1</v>
      </c>
      <c r="H426" s="6">
        <v>0</v>
      </c>
      <c r="I426" s="6">
        <f>127*256+128</f>
        <v>32640</v>
      </c>
      <c r="J426" s="6">
        <v>127</v>
      </c>
    </row>
    <row r="427" spans="1:60">
      <c r="D427">
        <v>4</v>
      </c>
      <c r="E427" t="s">
        <v>15</v>
      </c>
      <c r="F427" s="6">
        <v>1</v>
      </c>
    </row>
    <row r="428" spans="1:60">
      <c r="D428">
        <v>7</v>
      </c>
      <c r="E428" t="s">
        <v>11</v>
      </c>
      <c r="F428" s="6">
        <v>0</v>
      </c>
      <c r="G428" s="6">
        <v>0</v>
      </c>
      <c r="H428" s="6">
        <v>0</v>
      </c>
      <c r="I428" s="6">
        <v>0</v>
      </c>
    </row>
    <row r="429" spans="1:60">
      <c r="D429">
        <v>4</v>
      </c>
      <c r="E429" t="s">
        <v>15</v>
      </c>
      <c r="F429" s="6">
        <v>3</v>
      </c>
    </row>
    <row r="430" spans="1:60">
      <c r="D430">
        <v>5</v>
      </c>
      <c r="E430" t="s">
        <v>59</v>
      </c>
      <c r="F430" s="6">
        <v>1</v>
      </c>
      <c r="G430" s="6">
        <v>0</v>
      </c>
    </row>
    <row r="431" spans="1:60">
      <c r="B431">
        <f>ATAN(0.5)</f>
        <v>0.46364760900080609</v>
      </c>
      <c r="D431">
        <f>F431*2+4</f>
        <v>12</v>
      </c>
      <c r="E431" t="s">
        <v>1</v>
      </c>
      <c r="F431" s="6">
        <v>4</v>
      </c>
      <c r="G431" s="6">
        <v>300</v>
      </c>
      <c r="H431" s="6">
        <v>450</v>
      </c>
      <c r="I431" s="6">
        <f>G431+100</f>
        <v>400</v>
      </c>
      <c r="J431" s="6">
        <f>H431-50</f>
        <v>400</v>
      </c>
      <c r="K431" s="6">
        <f>I431+0</f>
        <v>400</v>
      </c>
      <c r="L431" s="6">
        <f>J431-125</f>
        <v>275</v>
      </c>
      <c r="M431" s="6">
        <f>K431-75</f>
        <v>325</v>
      </c>
      <c r="N431" s="6">
        <f>L431-75</f>
        <v>200</v>
      </c>
    </row>
    <row r="432" spans="1:60">
      <c r="B432">
        <f>ATAN(-0.5)</f>
        <v>-0.46364760900080609</v>
      </c>
      <c r="D432">
        <f>F432*2+4</f>
        <v>10</v>
      </c>
      <c r="E432" t="s">
        <v>1</v>
      </c>
      <c r="F432" s="6">
        <v>3</v>
      </c>
      <c r="G432" s="6">
        <f>G431</f>
        <v>300</v>
      </c>
      <c r="H432" s="6">
        <f>H431</f>
        <v>450</v>
      </c>
      <c r="I432" s="6">
        <f>G432+0</f>
        <v>300</v>
      </c>
      <c r="J432" s="6">
        <f>H432-125</f>
        <v>325</v>
      </c>
      <c r="K432" s="6">
        <f>I432-75</f>
        <v>225</v>
      </c>
      <c r="L432" s="6">
        <f>J432-75</f>
        <v>250</v>
      </c>
    </row>
    <row r="433" spans="1:14">
      <c r="D433">
        <f>F433*2+4</f>
        <v>12</v>
      </c>
      <c r="E433" t="s">
        <v>1</v>
      </c>
      <c r="F433" s="6">
        <v>4</v>
      </c>
      <c r="G433" s="6">
        <f>G432</f>
        <v>300</v>
      </c>
      <c r="H433" s="6">
        <f>H432</f>
        <v>450</v>
      </c>
      <c r="I433" s="6">
        <f>G433-75</f>
        <v>225</v>
      </c>
      <c r="J433" s="6">
        <f>H433-75</f>
        <v>375</v>
      </c>
      <c r="K433" s="6">
        <f>I433+0</f>
        <v>225</v>
      </c>
      <c r="L433" s="6">
        <f>J433-125</f>
        <v>250</v>
      </c>
      <c r="M433" s="6">
        <f>K433+100</f>
        <v>325</v>
      </c>
      <c r="N433" s="6">
        <f>L433-50</f>
        <v>200</v>
      </c>
    </row>
    <row r="434" spans="1:14">
      <c r="D434">
        <f>F434*2+4</f>
        <v>8</v>
      </c>
      <c r="E434" t="s">
        <v>1</v>
      </c>
      <c r="F434" s="6">
        <v>2</v>
      </c>
      <c r="G434" s="6">
        <f>I432</f>
        <v>300</v>
      </c>
      <c r="H434" s="6">
        <f>J432</f>
        <v>325</v>
      </c>
      <c r="I434" s="6">
        <f>G434+100</f>
        <v>400</v>
      </c>
      <c r="J434" s="6">
        <f>H434-50</f>
        <v>275</v>
      </c>
    </row>
    <row r="435" spans="1:14">
      <c r="D435">
        <v>4</v>
      </c>
      <c r="E435" t="s">
        <v>15</v>
      </c>
      <c r="F435" s="6">
        <v>2</v>
      </c>
    </row>
    <row r="436" spans="1:14">
      <c r="D436">
        <f>F436*2+4</f>
        <v>10</v>
      </c>
      <c r="E436" t="s">
        <v>1</v>
      </c>
      <c r="F436" s="6">
        <v>3</v>
      </c>
      <c r="G436" s="6">
        <f>I431</f>
        <v>400</v>
      </c>
      <c r="H436" s="6">
        <f>J431</f>
        <v>400</v>
      </c>
      <c r="I436" s="6">
        <f>G436-75</f>
        <v>325</v>
      </c>
      <c r="J436" s="6">
        <f>H436-75</f>
        <v>325</v>
      </c>
      <c r="K436" s="6">
        <f>I436+0</f>
        <v>325</v>
      </c>
      <c r="L436" s="6">
        <f>J436-125</f>
        <v>200</v>
      </c>
    </row>
    <row r="437" spans="1:14">
      <c r="D437">
        <f>F437*2+4</f>
        <v>8</v>
      </c>
      <c r="E437" t="s">
        <v>1</v>
      </c>
      <c r="F437" s="6">
        <v>2</v>
      </c>
      <c r="G437" s="6">
        <f>I433</f>
        <v>225</v>
      </c>
      <c r="H437" s="6">
        <f>J433</f>
        <v>375</v>
      </c>
      <c r="I437" s="6">
        <f>G437+100</f>
        <v>325</v>
      </c>
      <c r="J437" s="6">
        <f>H437-50</f>
        <v>325</v>
      </c>
    </row>
    <row r="438" spans="1:14">
      <c r="A438" t="s">
        <v>60</v>
      </c>
      <c r="D438">
        <v>4</v>
      </c>
      <c r="E438" t="s">
        <v>15</v>
      </c>
      <c r="F438" s="6">
        <v>1</v>
      </c>
    </row>
    <row r="439" spans="1:14">
      <c r="A439">
        <f t="shared" ref="A439:B441" si="11">G431</f>
        <v>300</v>
      </c>
      <c r="B439">
        <f t="shared" si="11"/>
        <v>450</v>
      </c>
      <c r="C439">
        <v>20</v>
      </c>
      <c r="D439">
        <f>F439*2+4</f>
        <v>10</v>
      </c>
      <c r="E439" t="s">
        <v>4</v>
      </c>
      <c r="F439" s="6">
        <v>3</v>
      </c>
      <c r="G439" s="6">
        <f t="shared" ref="G439:H441" si="12">I431</f>
        <v>400</v>
      </c>
      <c r="H439" s="6">
        <f t="shared" si="12"/>
        <v>400</v>
      </c>
      <c r="I439" s="6">
        <f>INT(G439-C439*COS(IF(G439-A439=0,IF(H439&gt;B439,PI()/2,-PI()/2),IF(G439-A439&lt;0,PI(),0)+ATAN((H439-B439)/(G439-A439)))-ATAN(0.5)))</f>
        <v>388</v>
      </c>
      <c r="J439" s="6">
        <f>INT(H439-C439*SIN(IF(G439-A439=0,IF(H439&gt;B439,PI()/2,-PI()/2),IF(G439-A439&lt;0,PI(),0)+ATAN((H439-B439)/(G439-A439)))-ATAN(0.5)))</f>
        <v>416</v>
      </c>
      <c r="K439" s="6">
        <f>INT(G439-C439*COS(IF(G439-A439=0,IF(H439&gt;B439,PI()/2,-PI()/2),IF(G439-A439&lt;0,PI(),0)+ATAN((H439-B439)/(G439-A439)))+ATAN(0.5)))</f>
        <v>380</v>
      </c>
      <c r="L439" s="6">
        <f>INT(H439-C439*SIN(IF(G439-A439=0,IF(H439&gt;B439,PI()/2,-PI()/2),IF(G439-A439&lt;0,PI(),0)+ATAN((H439-B439)/(G439-A439)))+ATAN(0.5)))</f>
        <v>400</v>
      </c>
    </row>
    <row r="440" spans="1:14">
      <c r="A440">
        <f t="shared" si="11"/>
        <v>300</v>
      </c>
      <c r="B440">
        <f t="shared" si="11"/>
        <v>450</v>
      </c>
      <c r="C440">
        <v>20</v>
      </c>
      <c r="D440">
        <f>F440*2+4</f>
        <v>10</v>
      </c>
      <c r="E440" t="s">
        <v>4</v>
      </c>
      <c r="F440" s="6">
        <v>3</v>
      </c>
      <c r="G440" s="6">
        <f t="shared" si="12"/>
        <v>300</v>
      </c>
      <c r="H440" s="6">
        <f t="shared" si="12"/>
        <v>325</v>
      </c>
      <c r="I440" s="6">
        <f>INT(G440-C440*COS(IF(G440-A440=0,IF(H440&gt;B440,PI()/2,-PI()/2),IF(G440-A440&lt;0,PI(),0)+ATAN((H440-B440)/(G440-A440)))-ATAN(0.5)))</f>
        <v>308</v>
      </c>
      <c r="J440" s="6">
        <f>INT(H440-C440*SIN(IF(G440-A440=0,IF(H440&gt;B440,PI()/2,-PI()/2),IF(G440-A440&lt;0,PI(),0)+ATAN((H440-B440)/(G440-A440)))-ATAN(0.5)))</f>
        <v>342</v>
      </c>
      <c r="K440" s="6">
        <f>INT(G440-C440*COS(IF(G440-A440=0,IF(H440&gt;B440,PI()/2,-PI()/2),IF(G440-A440&lt;0,PI(),0)+ATAN((H440-B440)/(G440-A440)))+ATAN(0.5)))</f>
        <v>291</v>
      </c>
      <c r="L440" s="6">
        <f>INT(H440-C440*SIN(IF(G440-A440=0,IF(H440&gt;B440,PI()/2,-PI()/2),IF(G440-A440&lt;0,PI(),0)+ATAN((H440-B440)/(G440-A440)))+ATAN(0.5)))</f>
        <v>342</v>
      </c>
    </row>
    <row r="441" spans="1:14">
      <c r="A441">
        <f t="shared" si="11"/>
        <v>300</v>
      </c>
      <c r="B441">
        <f t="shared" si="11"/>
        <v>450</v>
      </c>
      <c r="C441">
        <v>20</v>
      </c>
      <c r="D441">
        <f>F441*2+4</f>
        <v>10</v>
      </c>
      <c r="E441" t="s">
        <v>4</v>
      </c>
      <c r="F441" s="6">
        <v>3</v>
      </c>
      <c r="G441" s="6">
        <f t="shared" si="12"/>
        <v>225</v>
      </c>
      <c r="H441" s="6">
        <f t="shared" si="12"/>
        <v>375</v>
      </c>
      <c r="I441" s="6">
        <f>INT(G441-C441*COS(IF(G441-A441=0,IF(H441&gt;B441,PI()/2,-PI()/2),IF(G441-A441&lt;0,PI(),0)+ATAN((H441-B441)/(G441-A441)))-ATAN(0.5)))</f>
        <v>243</v>
      </c>
      <c r="J441" s="6">
        <f>INT(H441-C441*SIN(IF(G441-A441=0,IF(H441&gt;B441,PI()/2,-PI()/2),IF(G441-A441&lt;0,PI(),0)+ATAN((H441-B441)/(G441-A441)))-ATAN(0.5)))</f>
        <v>381</v>
      </c>
      <c r="K441" s="6">
        <f>INT(G441-C441*COS(IF(G441-A441=0,IF(H441&gt;B441,PI()/2,-PI()/2),IF(G441-A441&lt;0,PI(),0)+ATAN((H441-B441)/(G441-A441)))+ATAN(0.5)))</f>
        <v>231</v>
      </c>
      <c r="L441" s="6">
        <f>INT(H441-C441*SIN(IF(G441-A441=0,IF(H441&gt;B441,PI()/2,-PI()/2),IF(G441-A441&lt;0,PI(),0)+ATAN((H441-B441)/(G441-A441)))+ATAN(0.5)))</f>
        <v>393</v>
      </c>
    </row>
    <row r="442" spans="1:14">
      <c r="D442">
        <v>7</v>
      </c>
      <c r="E442" t="s">
        <v>11</v>
      </c>
      <c r="F442" s="6">
        <v>1</v>
      </c>
      <c r="G442" s="6">
        <v>0</v>
      </c>
      <c r="H442" s="6">
        <v>0</v>
      </c>
      <c r="I442" s="6">
        <v>0</v>
      </c>
    </row>
    <row r="443" spans="1:14">
      <c r="D443">
        <v>4</v>
      </c>
      <c r="E443" t="s">
        <v>15</v>
      </c>
      <c r="F443" s="6">
        <v>4</v>
      </c>
    </row>
    <row r="444" spans="1:14">
      <c r="D444">
        <f t="shared" ref="D444:D449" si="13">F444*2+4</f>
        <v>12</v>
      </c>
      <c r="E444" t="s">
        <v>4</v>
      </c>
      <c r="F444" s="6">
        <v>4</v>
      </c>
      <c r="G444" s="6">
        <f>G431</f>
        <v>300</v>
      </c>
      <c r="H444" s="6">
        <f>H431+200</f>
        <v>650</v>
      </c>
      <c r="I444" s="6">
        <f>G444+100</f>
        <v>400</v>
      </c>
      <c r="J444" s="6">
        <f>H444-50</f>
        <v>600</v>
      </c>
      <c r="K444" s="6">
        <f>I444-75</f>
        <v>325</v>
      </c>
      <c r="L444" s="6">
        <f>J444-75</f>
        <v>525</v>
      </c>
      <c r="M444" s="6">
        <f>K444-100</f>
        <v>225</v>
      </c>
      <c r="N444" s="6">
        <f>L444+50</f>
        <v>575</v>
      </c>
    </row>
    <row r="445" spans="1:14">
      <c r="D445">
        <f t="shared" si="13"/>
        <v>12</v>
      </c>
      <c r="E445" t="s">
        <v>4</v>
      </c>
      <c r="F445" s="6">
        <v>4</v>
      </c>
      <c r="G445" s="6">
        <f>G431</f>
        <v>300</v>
      </c>
      <c r="H445" s="6">
        <f>H431-325</f>
        <v>125</v>
      </c>
      <c r="I445" s="6">
        <f>G445+100</f>
        <v>400</v>
      </c>
      <c r="J445" s="6">
        <f>H445-50</f>
        <v>75</v>
      </c>
      <c r="K445" s="6">
        <f>I445-75</f>
        <v>325</v>
      </c>
      <c r="L445" s="6">
        <f>J445-75</f>
        <v>0</v>
      </c>
      <c r="M445" s="6">
        <f>K445-100</f>
        <v>225</v>
      </c>
      <c r="N445" s="6">
        <f>L445+50</f>
        <v>50</v>
      </c>
    </row>
    <row r="446" spans="1:14">
      <c r="D446">
        <f t="shared" si="13"/>
        <v>12</v>
      </c>
      <c r="E446" t="s">
        <v>4</v>
      </c>
      <c r="F446" s="6">
        <v>4</v>
      </c>
      <c r="G446" s="6">
        <f>G431+200</f>
        <v>500</v>
      </c>
      <c r="H446" s="6">
        <f>H431+100</f>
        <v>550</v>
      </c>
      <c r="I446" s="6">
        <f>G446+100</f>
        <v>600</v>
      </c>
      <c r="J446" s="6">
        <f>H446-50</f>
        <v>500</v>
      </c>
      <c r="K446" s="6">
        <f>I446+0</f>
        <v>600</v>
      </c>
      <c r="L446" s="6">
        <f>J446-125</f>
        <v>375</v>
      </c>
      <c r="M446" s="6">
        <f>K446-100</f>
        <v>500</v>
      </c>
      <c r="N446" s="6">
        <f>L446+50</f>
        <v>425</v>
      </c>
    </row>
    <row r="447" spans="1:14">
      <c r="D447">
        <f t="shared" si="13"/>
        <v>12</v>
      </c>
      <c r="E447" t="s">
        <v>4</v>
      </c>
      <c r="F447" s="6">
        <v>4</v>
      </c>
      <c r="G447" s="6">
        <f>I433-200</f>
        <v>25</v>
      </c>
      <c r="H447" s="6">
        <f>J433-100</f>
        <v>275</v>
      </c>
      <c r="I447" s="6">
        <f>G447+100</f>
        <v>125</v>
      </c>
      <c r="J447" s="6">
        <f>H447-50</f>
        <v>225</v>
      </c>
      <c r="K447" s="6">
        <f>I447+0</f>
        <v>125</v>
      </c>
      <c r="L447" s="6">
        <f>J447-125</f>
        <v>100</v>
      </c>
      <c r="M447" s="6">
        <f>K447-100</f>
        <v>25</v>
      </c>
      <c r="N447" s="6">
        <f>L447+50</f>
        <v>150</v>
      </c>
    </row>
    <row r="448" spans="1:14">
      <c r="D448">
        <f t="shared" si="13"/>
        <v>12</v>
      </c>
      <c r="E448" t="s">
        <v>4</v>
      </c>
      <c r="F448" s="6">
        <v>4</v>
      </c>
      <c r="G448" s="6">
        <f>G431-200</f>
        <v>100</v>
      </c>
      <c r="H448" s="6">
        <f>H431+100</f>
        <v>550</v>
      </c>
      <c r="I448" s="6">
        <f>G448-75</f>
        <v>25</v>
      </c>
      <c r="J448" s="6">
        <f>H448-75</f>
        <v>475</v>
      </c>
      <c r="K448" s="6">
        <f>I448+0</f>
        <v>25</v>
      </c>
      <c r="L448" s="6">
        <f>J448-125</f>
        <v>350</v>
      </c>
      <c r="M448" s="6">
        <f>K448+75</f>
        <v>100</v>
      </c>
      <c r="N448" s="6">
        <f>L448+75</f>
        <v>425</v>
      </c>
    </row>
    <row r="449" spans="1:14">
      <c r="D449">
        <f t="shared" si="13"/>
        <v>12</v>
      </c>
      <c r="E449" t="s">
        <v>4</v>
      </c>
      <c r="F449" s="6">
        <v>4</v>
      </c>
      <c r="G449" s="6">
        <f>I431+200</f>
        <v>600</v>
      </c>
      <c r="H449" s="6">
        <f>J431-100</f>
        <v>300</v>
      </c>
      <c r="I449" s="6">
        <f>G449-75</f>
        <v>525</v>
      </c>
      <c r="J449" s="6">
        <f>H449-75</f>
        <v>225</v>
      </c>
      <c r="K449" s="6">
        <f>I449+0</f>
        <v>525</v>
      </c>
      <c r="L449" s="6">
        <f>J449-125</f>
        <v>100</v>
      </c>
      <c r="M449" s="6">
        <f>K449+75</f>
        <v>600</v>
      </c>
      <c r="N449" s="6">
        <f>L449+75</f>
        <v>175</v>
      </c>
    </row>
    <row r="450" spans="1:14">
      <c r="D450">
        <v>4</v>
      </c>
      <c r="E450" t="s">
        <v>15</v>
      </c>
      <c r="F450" s="6">
        <v>3</v>
      </c>
    </row>
    <row r="451" spans="1:14">
      <c r="A451">
        <f>G444</f>
        <v>300</v>
      </c>
      <c r="B451">
        <f>H444</f>
        <v>650</v>
      </c>
      <c r="C451">
        <v>20</v>
      </c>
      <c r="D451">
        <f t="shared" ref="D451:D462" si="14">F451*2+4</f>
        <v>10</v>
      </c>
      <c r="E451" t="s">
        <v>4</v>
      </c>
      <c r="F451" s="6">
        <v>3</v>
      </c>
      <c r="G451" s="6">
        <f>I444</f>
        <v>400</v>
      </c>
      <c r="H451" s="6">
        <f>J444</f>
        <v>600</v>
      </c>
      <c r="I451" s="6">
        <f t="shared" ref="I451:I462" si="15">INT(G451-C451*COS(IF(G451-A451=0,IF(H451&gt;B451,PI()/2,-PI()/2),IF(G451-A451&lt;0,PI(),0)+ATAN((H451-B451)/(G451-A451)))-ATAN(0.5)))</f>
        <v>388</v>
      </c>
      <c r="J451" s="6">
        <f t="shared" ref="J451:J462" si="16">INT(H451-C451*SIN(IF(G451-A451=0,IF(H451&gt;B451,PI()/2,-PI()/2),IF(G451-A451&lt;0,PI(),0)+ATAN((H451-B451)/(G451-A451)))-ATAN(0.5)))</f>
        <v>616</v>
      </c>
      <c r="K451" s="6">
        <f t="shared" ref="K451:K462" si="17">INT(G451-C451*COS(IF(G451-A451=0,IF(H451&gt;B451,PI()/2,-PI()/2),IF(G451-A451&lt;0,PI(),0)+ATAN((H451-B451)/(G451-A451)))+ATAN(0.5)))</f>
        <v>380</v>
      </c>
      <c r="L451" s="6">
        <f t="shared" ref="L451:L462" si="18">INT(H451-C451*SIN(IF(G451-A451=0,IF(H451&gt;B451,PI()/2,-PI()/2),IF(G451-A451&lt;0,PI(),0)+ATAN((H451-B451)/(G451-A451)))+ATAN(0.5)))</f>
        <v>600</v>
      </c>
    </row>
    <row r="452" spans="1:14">
      <c r="A452">
        <f t="shared" ref="A452:B456" si="19">G445</f>
        <v>300</v>
      </c>
      <c r="B452">
        <f t="shared" si="19"/>
        <v>125</v>
      </c>
      <c r="C452">
        <v>21</v>
      </c>
      <c r="D452">
        <f t="shared" si="14"/>
        <v>10</v>
      </c>
      <c r="E452" t="s">
        <v>4</v>
      </c>
      <c r="F452" s="6">
        <v>3</v>
      </c>
      <c r="G452" s="6">
        <f t="shared" ref="G452:H456" si="20">I445</f>
        <v>400</v>
      </c>
      <c r="H452" s="6">
        <f t="shared" si="20"/>
        <v>75</v>
      </c>
      <c r="I452" s="6">
        <f t="shared" si="15"/>
        <v>387</v>
      </c>
      <c r="J452" s="6">
        <f t="shared" si="16"/>
        <v>91</v>
      </c>
      <c r="K452" s="6">
        <f t="shared" si="17"/>
        <v>379</v>
      </c>
      <c r="L452" s="6">
        <f t="shared" si="18"/>
        <v>75</v>
      </c>
    </row>
    <row r="453" spans="1:14">
      <c r="A453">
        <f t="shared" si="19"/>
        <v>500</v>
      </c>
      <c r="B453">
        <f t="shared" si="19"/>
        <v>550</v>
      </c>
      <c r="C453">
        <v>22</v>
      </c>
      <c r="D453">
        <f t="shared" si="14"/>
        <v>10</v>
      </c>
      <c r="E453" t="s">
        <v>4</v>
      </c>
      <c r="F453" s="6">
        <v>3</v>
      </c>
      <c r="G453" s="6">
        <f t="shared" si="20"/>
        <v>600</v>
      </c>
      <c r="H453" s="6">
        <f t="shared" si="20"/>
        <v>500</v>
      </c>
      <c r="I453" s="6">
        <f t="shared" si="15"/>
        <v>586</v>
      </c>
      <c r="J453" s="6">
        <f t="shared" si="16"/>
        <v>517</v>
      </c>
      <c r="K453" s="6">
        <f t="shared" si="17"/>
        <v>578</v>
      </c>
      <c r="L453" s="6">
        <f t="shared" si="18"/>
        <v>500</v>
      </c>
    </row>
    <row r="454" spans="1:14">
      <c r="A454">
        <f t="shared" si="19"/>
        <v>25</v>
      </c>
      <c r="B454">
        <f t="shared" si="19"/>
        <v>275</v>
      </c>
      <c r="C454">
        <v>23</v>
      </c>
      <c r="D454">
        <f t="shared" si="14"/>
        <v>10</v>
      </c>
      <c r="E454" t="s">
        <v>4</v>
      </c>
      <c r="F454" s="6">
        <v>3</v>
      </c>
      <c r="G454" s="6">
        <f t="shared" si="20"/>
        <v>125</v>
      </c>
      <c r="H454" s="6">
        <f t="shared" si="20"/>
        <v>225</v>
      </c>
      <c r="I454" s="6">
        <f t="shared" si="15"/>
        <v>111</v>
      </c>
      <c r="J454" s="6">
        <f t="shared" si="16"/>
        <v>243</v>
      </c>
      <c r="K454" s="6">
        <f t="shared" si="17"/>
        <v>102</v>
      </c>
      <c r="L454" s="6">
        <f t="shared" si="18"/>
        <v>225</v>
      </c>
    </row>
    <row r="455" spans="1:14">
      <c r="A455">
        <f t="shared" si="19"/>
        <v>100</v>
      </c>
      <c r="B455">
        <f t="shared" si="19"/>
        <v>550</v>
      </c>
      <c r="C455">
        <v>24</v>
      </c>
      <c r="D455">
        <f t="shared" si="14"/>
        <v>10</v>
      </c>
      <c r="E455" t="s">
        <v>4</v>
      </c>
      <c r="F455" s="6">
        <v>3</v>
      </c>
      <c r="G455" s="6">
        <f t="shared" si="20"/>
        <v>25</v>
      </c>
      <c r="H455" s="6">
        <f t="shared" si="20"/>
        <v>475</v>
      </c>
      <c r="I455" s="6">
        <f t="shared" si="15"/>
        <v>47</v>
      </c>
      <c r="J455" s="6">
        <f t="shared" si="16"/>
        <v>482</v>
      </c>
      <c r="K455" s="6">
        <f t="shared" si="17"/>
        <v>32</v>
      </c>
      <c r="L455" s="6">
        <f t="shared" si="18"/>
        <v>497</v>
      </c>
    </row>
    <row r="456" spans="1:14">
      <c r="A456">
        <f t="shared" si="19"/>
        <v>600</v>
      </c>
      <c r="B456">
        <f t="shared" si="19"/>
        <v>300</v>
      </c>
      <c r="C456">
        <v>25</v>
      </c>
      <c r="D456">
        <f t="shared" si="14"/>
        <v>10</v>
      </c>
      <c r="E456" t="s">
        <v>4</v>
      </c>
      <c r="F456" s="6">
        <v>3</v>
      </c>
      <c r="G456" s="6">
        <f t="shared" si="20"/>
        <v>525</v>
      </c>
      <c r="H456" s="6">
        <f t="shared" si="20"/>
        <v>225</v>
      </c>
      <c r="I456" s="6">
        <f t="shared" si="15"/>
        <v>548</v>
      </c>
      <c r="J456" s="6">
        <f t="shared" si="16"/>
        <v>232</v>
      </c>
      <c r="K456" s="6">
        <f t="shared" si="17"/>
        <v>532</v>
      </c>
      <c r="L456" s="6">
        <f t="shared" si="18"/>
        <v>248</v>
      </c>
    </row>
    <row r="457" spans="1:14">
      <c r="A457">
        <f>A451</f>
        <v>300</v>
      </c>
      <c r="B457">
        <f>B451</f>
        <v>650</v>
      </c>
      <c r="C457">
        <v>20</v>
      </c>
      <c r="D457">
        <f t="shared" si="14"/>
        <v>10</v>
      </c>
      <c r="E457" t="s">
        <v>4</v>
      </c>
      <c r="F457" s="6">
        <v>3</v>
      </c>
      <c r="G457" s="6">
        <f>M444</f>
        <v>225</v>
      </c>
      <c r="H457" s="6">
        <f>N444</f>
        <v>575</v>
      </c>
      <c r="I457" s="6">
        <f t="shared" si="15"/>
        <v>243</v>
      </c>
      <c r="J457" s="6">
        <f t="shared" si="16"/>
        <v>581</v>
      </c>
      <c r="K457" s="6">
        <f t="shared" si="17"/>
        <v>231</v>
      </c>
      <c r="L457" s="6">
        <f t="shared" si="18"/>
        <v>593</v>
      </c>
    </row>
    <row r="458" spans="1:14">
      <c r="A458">
        <f t="shared" ref="A458:B462" si="21">A452</f>
        <v>300</v>
      </c>
      <c r="B458">
        <f t="shared" si="21"/>
        <v>125</v>
      </c>
      <c r="C458">
        <v>21</v>
      </c>
      <c r="D458">
        <f t="shared" si="14"/>
        <v>10</v>
      </c>
      <c r="E458" t="s">
        <v>4</v>
      </c>
      <c r="F458" s="6">
        <v>3</v>
      </c>
      <c r="G458" s="6">
        <f t="shared" ref="G458:H462" si="22">M445</f>
        <v>225</v>
      </c>
      <c r="H458" s="6">
        <f t="shared" si="22"/>
        <v>50</v>
      </c>
      <c r="I458" s="6">
        <f t="shared" si="15"/>
        <v>244</v>
      </c>
      <c r="J458" s="6">
        <f t="shared" si="16"/>
        <v>56</v>
      </c>
      <c r="K458" s="6">
        <f t="shared" si="17"/>
        <v>231</v>
      </c>
      <c r="L458" s="6">
        <f t="shared" si="18"/>
        <v>69</v>
      </c>
    </row>
    <row r="459" spans="1:14">
      <c r="A459">
        <f t="shared" si="21"/>
        <v>500</v>
      </c>
      <c r="B459">
        <f t="shared" si="21"/>
        <v>550</v>
      </c>
      <c r="C459">
        <v>22</v>
      </c>
      <c r="D459">
        <f t="shared" si="14"/>
        <v>10</v>
      </c>
      <c r="E459" t="s">
        <v>4</v>
      </c>
      <c r="F459" s="6">
        <v>3</v>
      </c>
      <c r="G459" s="6">
        <f t="shared" si="22"/>
        <v>500</v>
      </c>
      <c r="H459" s="6">
        <f t="shared" si="22"/>
        <v>425</v>
      </c>
      <c r="I459" s="6">
        <f t="shared" si="15"/>
        <v>509</v>
      </c>
      <c r="J459" s="6">
        <f t="shared" si="16"/>
        <v>444</v>
      </c>
      <c r="K459" s="6">
        <f t="shared" si="17"/>
        <v>490</v>
      </c>
      <c r="L459" s="6">
        <f t="shared" si="18"/>
        <v>444</v>
      </c>
    </row>
    <row r="460" spans="1:14">
      <c r="A460">
        <f t="shared" si="21"/>
        <v>25</v>
      </c>
      <c r="B460">
        <f t="shared" si="21"/>
        <v>275</v>
      </c>
      <c r="C460">
        <v>23</v>
      </c>
      <c r="D460">
        <f t="shared" si="14"/>
        <v>10</v>
      </c>
      <c r="E460" t="s">
        <v>4</v>
      </c>
      <c r="F460" s="6">
        <v>3</v>
      </c>
      <c r="G460" s="6">
        <f t="shared" si="22"/>
        <v>25</v>
      </c>
      <c r="H460" s="6">
        <f t="shared" si="22"/>
        <v>150</v>
      </c>
      <c r="I460" s="6">
        <f t="shared" si="15"/>
        <v>35</v>
      </c>
      <c r="J460" s="6">
        <f t="shared" si="16"/>
        <v>170</v>
      </c>
      <c r="K460" s="6">
        <f t="shared" si="17"/>
        <v>14</v>
      </c>
      <c r="L460" s="6">
        <f t="shared" si="18"/>
        <v>170</v>
      </c>
    </row>
    <row r="461" spans="1:14">
      <c r="A461">
        <f t="shared" si="21"/>
        <v>100</v>
      </c>
      <c r="B461">
        <f t="shared" si="21"/>
        <v>550</v>
      </c>
      <c r="C461">
        <v>24</v>
      </c>
      <c r="D461">
        <f t="shared" si="14"/>
        <v>10</v>
      </c>
      <c r="E461" t="s">
        <v>4</v>
      </c>
      <c r="F461" s="6">
        <v>3</v>
      </c>
      <c r="G461" s="6">
        <f t="shared" si="22"/>
        <v>100</v>
      </c>
      <c r="H461" s="6">
        <f t="shared" si="22"/>
        <v>425</v>
      </c>
      <c r="I461" s="6">
        <f t="shared" si="15"/>
        <v>110</v>
      </c>
      <c r="J461" s="6">
        <f t="shared" si="16"/>
        <v>446</v>
      </c>
      <c r="K461" s="6">
        <f t="shared" si="17"/>
        <v>89</v>
      </c>
      <c r="L461" s="6">
        <f t="shared" si="18"/>
        <v>446</v>
      </c>
    </row>
    <row r="462" spans="1:14">
      <c r="A462">
        <f t="shared" si="21"/>
        <v>600</v>
      </c>
      <c r="B462">
        <f t="shared" si="21"/>
        <v>300</v>
      </c>
      <c r="C462">
        <v>25</v>
      </c>
      <c r="D462">
        <f t="shared" si="14"/>
        <v>10</v>
      </c>
      <c r="E462" t="s">
        <v>4</v>
      </c>
      <c r="F462" s="6">
        <v>3</v>
      </c>
      <c r="G462" s="6">
        <f t="shared" si="22"/>
        <v>600</v>
      </c>
      <c r="H462" s="6">
        <f t="shared" si="22"/>
        <v>175</v>
      </c>
      <c r="I462" s="6">
        <f t="shared" si="15"/>
        <v>611</v>
      </c>
      <c r="J462" s="6">
        <f t="shared" si="16"/>
        <v>197</v>
      </c>
      <c r="K462" s="6">
        <f t="shared" si="17"/>
        <v>588</v>
      </c>
      <c r="L462" s="6">
        <f t="shared" si="18"/>
        <v>197</v>
      </c>
    </row>
    <row r="463" spans="1:14">
      <c r="E463" t="s">
        <v>517</v>
      </c>
      <c r="F463" s="6" t="s">
        <v>547</v>
      </c>
      <c r="G463" s="6">
        <f>G439+5</f>
        <v>405</v>
      </c>
      <c r="H463" s="6">
        <f>H439-20</f>
        <v>380</v>
      </c>
      <c r="I463" s="6">
        <f>H451-20</f>
        <v>580</v>
      </c>
      <c r="J463" s="6">
        <f>H452-20</f>
        <v>55</v>
      </c>
    </row>
    <row r="464" spans="1:14">
      <c r="D464">
        <f t="shared" ref="D464:D479" si="23">ROUNDUP(6+F464/2,0)</f>
        <v>7</v>
      </c>
      <c r="E464" t="s">
        <v>6</v>
      </c>
      <c r="F464" s="6">
        <f t="shared" ref="F464:F479" si="24">LEN(G464)</f>
        <v>1</v>
      </c>
      <c r="G464" s="6" t="s">
        <v>43</v>
      </c>
      <c r="H464" s="6">
        <f>H453-20</f>
        <v>480</v>
      </c>
      <c r="I464" s="6">
        <f>G453+5</f>
        <v>605</v>
      </c>
    </row>
    <row r="465" spans="4:10">
      <c r="D465">
        <f t="shared" si="23"/>
        <v>7</v>
      </c>
      <c r="E465" t="s">
        <v>6</v>
      </c>
      <c r="F465" s="6">
        <f t="shared" si="24"/>
        <v>1</v>
      </c>
      <c r="G465" s="6" t="s">
        <v>43</v>
      </c>
      <c r="H465" s="6">
        <f>H454-20</f>
        <v>205</v>
      </c>
      <c r="I465" s="6">
        <f>G454+5</f>
        <v>130</v>
      </c>
    </row>
    <row r="466" spans="4:10">
      <c r="D466">
        <f t="shared" si="23"/>
        <v>7</v>
      </c>
      <c r="E466" t="s">
        <v>6</v>
      </c>
      <c r="F466" s="6">
        <f t="shared" si="24"/>
        <v>1</v>
      </c>
      <c r="G466" s="6" t="s">
        <v>61</v>
      </c>
      <c r="H466" s="6">
        <f>J432-35</f>
        <v>290</v>
      </c>
      <c r="I466" s="6">
        <f>I432-10</f>
        <v>290</v>
      </c>
    </row>
    <row r="467" spans="4:10">
      <c r="D467">
        <f t="shared" si="23"/>
        <v>7</v>
      </c>
      <c r="E467" t="s">
        <v>6</v>
      </c>
      <c r="F467" s="6">
        <f t="shared" si="24"/>
        <v>1</v>
      </c>
      <c r="G467" s="6" t="s">
        <v>61</v>
      </c>
      <c r="H467" s="6">
        <f>H459-35</f>
        <v>390</v>
      </c>
      <c r="I467" s="6">
        <f>G459-10</f>
        <v>490</v>
      </c>
    </row>
    <row r="468" spans="4:10">
      <c r="D468">
        <f t="shared" si="23"/>
        <v>7</v>
      </c>
      <c r="E468" t="s">
        <v>6</v>
      </c>
      <c r="F468" s="6">
        <f t="shared" si="24"/>
        <v>1</v>
      </c>
      <c r="G468" s="6" t="s">
        <v>61</v>
      </c>
      <c r="H468" s="6">
        <f>H460-35</f>
        <v>115</v>
      </c>
      <c r="I468" s="6">
        <f>G460-10</f>
        <v>15</v>
      </c>
    </row>
    <row r="469" spans="4:10">
      <c r="D469">
        <f t="shared" si="23"/>
        <v>7</v>
      </c>
      <c r="E469" t="s">
        <v>6</v>
      </c>
      <c r="F469" s="6">
        <f t="shared" si="24"/>
        <v>1</v>
      </c>
      <c r="G469" s="6" t="s">
        <v>61</v>
      </c>
      <c r="H469" s="6">
        <f>H461-35</f>
        <v>390</v>
      </c>
      <c r="I469" s="6">
        <f>G461-10</f>
        <v>90</v>
      </c>
    </row>
    <row r="470" spans="4:10">
      <c r="D470">
        <f t="shared" si="23"/>
        <v>7</v>
      </c>
      <c r="E470" t="s">
        <v>6</v>
      </c>
      <c r="F470" s="6">
        <f t="shared" si="24"/>
        <v>1</v>
      </c>
      <c r="G470" s="6" t="s">
        <v>61</v>
      </c>
      <c r="H470" s="6">
        <f>H462-35</f>
        <v>140</v>
      </c>
      <c r="I470" s="6">
        <f>G462-10</f>
        <v>590</v>
      </c>
    </row>
    <row r="471" spans="4:10">
      <c r="E471" t="s">
        <v>517</v>
      </c>
      <c r="F471" s="6" t="s">
        <v>538</v>
      </c>
      <c r="G471" s="6">
        <f>G441-25</f>
        <v>200</v>
      </c>
      <c r="H471" s="6">
        <f>H441-20</f>
        <v>355</v>
      </c>
      <c r="I471" s="6">
        <f>H457-20</f>
        <v>555</v>
      </c>
      <c r="J471" s="6">
        <f>H458-20</f>
        <v>30</v>
      </c>
    </row>
    <row r="472" spans="4:10">
      <c r="D472">
        <f t="shared" si="23"/>
        <v>7</v>
      </c>
      <c r="E472" t="s">
        <v>6</v>
      </c>
      <c r="F472" s="6">
        <f t="shared" si="24"/>
        <v>1</v>
      </c>
      <c r="G472" s="6" t="s">
        <v>22</v>
      </c>
      <c r="H472" s="6">
        <f>H455-20</f>
        <v>455</v>
      </c>
      <c r="I472" s="6">
        <f>G455-25</f>
        <v>0</v>
      </c>
    </row>
    <row r="473" spans="4:10">
      <c r="D473">
        <f t="shared" si="23"/>
        <v>7</v>
      </c>
      <c r="E473" t="s">
        <v>6</v>
      </c>
      <c r="F473" s="6">
        <f t="shared" si="24"/>
        <v>1</v>
      </c>
      <c r="G473" s="6" t="s">
        <v>22</v>
      </c>
      <c r="H473" s="6">
        <f>H456-20</f>
        <v>205</v>
      </c>
      <c r="I473" s="6">
        <f>G456-25</f>
        <v>500</v>
      </c>
    </row>
    <row r="474" spans="4:10">
      <c r="D474">
        <f t="shared" si="23"/>
        <v>8</v>
      </c>
      <c r="E474" t="s">
        <v>6</v>
      </c>
      <c r="F474" s="6">
        <f t="shared" si="24"/>
        <v>3</v>
      </c>
      <c r="G474" s="32" t="s">
        <v>63</v>
      </c>
      <c r="H474" s="6">
        <v>570</v>
      </c>
      <c r="I474" s="6">
        <v>270</v>
      </c>
    </row>
    <row r="475" spans="4:10">
      <c r="D475">
        <f t="shared" si="23"/>
        <v>8</v>
      </c>
      <c r="E475" t="s">
        <v>6</v>
      </c>
      <c r="F475" s="6">
        <f t="shared" si="24"/>
        <v>3</v>
      </c>
      <c r="G475" s="32" t="s">
        <v>64</v>
      </c>
      <c r="H475" s="6">
        <v>40</v>
      </c>
      <c r="I475" s="6">
        <v>270</v>
      </c>
    </row>
    <row r="476" spans="4:10">
      <c r="D476">
        <f t="shared" si="23"/>
        <v>9</v>
      </c>
      <c r="E476" t="s">
        <v>6</v>
      </c>
      <c r="F476" s="6">
        <f t="shared" si="24"/>
        <v>6</v>
      </c>
      <c r="G476" s="32" t="s">
        <v>65</v>
      </c>
      <c r="H476" s="6">
        <v>460</v>
      </c>
      <c r="I476" s="6">
        <v>500</v>
      </c>
    </row>
    <row r="477" spans="4:10">
      <c r="D477">
        <f t="shared" si="23"/>
        <v>8</v>
      </c>
      <c r="E477" t="s">
        <v>6</v>
      </c>
      <c r="F477" s="6">
        <f t="shared" si="24"/>
        <v>4</v>
      </c>
      <c r="G477" s="32" t="s">
        <v>66</v>
      </c>
      <c r="H477" s="6">
        <v>170</v>
      </c>
      <c r="I477" s="6">
        <v>50</v>
      </c>
    </row>
    <row r="478" spans="4:10">
      <c r="D478">
        <f t="shared" si="23"/>
        <v>8</v>
      </c>
      <c r="E478" t="s">
        <v>6</v>
      </c>
      <c r="F478" s="6">
        <f t="shared" si="24"/>
        <v>3</v>
      </c>
      <c r="G478" s="32" t="s">
        <v>67</v>
      </c>
      <c r="H478" s="6">
        <v>170</v>
      </c>
      <c r="I478" s="6">
        <v>530</v>
      </c>
    </row>
    <row r="479" spans="4:10">
      <c r="D479">
        <f t="shared" si="23"/>
        <v>8</v>
      </c>
      <c r="E479" t="s">
        <v>6</v>
      </c>
      <c r="F479" s="6">
        <f t="shared" si="24"/>
        <v>3</v>
      </c>
      <c r="G479" s="32" t="s">
        <v>68</v>
      </c>
      <c r="H479" s="6">
        <v>440</v>
      </c>
      <c r="I479" s="6">
        <v>40</v>
      </c>
    </row>
    <row r="482" spans="1:15">
      <c r="A482" s="48" t="s">
        <v>383</v>
      </c>
      <c r="B482" s="1" t="s">
        <v>69</v>
      </c>
      <c r="D482" t="s">
        <v>449</v>
      </c>
      <c r="E482">
        <v>52695</v>
      </c>
      <c r="F482" s="6">
        <v>39622</v>
      </c>
      <c r="G482" s="6">
        <v>0</v>
      </c>
      <c r="H482" s="6">
        <v>0</v>
      </c>
      <c r="I482" s="6">
        <v>0</v>
      </c>
      <c r="J482" s="6">
        <v>1200</v>
      </c>
      <c r="K482" s="6">
        <v>1200</v>
      </c>
      <c r="L482" s="6">
        <v>192</v>
      </c>
      <c r="M482" s="6">
        <v>0</v>
      </c>
      <c r="N482" s="6">
        <v>0</v>
      </c>
      <c r="O482" s="6" t="e">
        <f ca="1">checksummeint(G482,H482,I482,J482,K482,L482,M482,N482)</f>
        <v>#NAME?</v>
      </c>
    </row>
    <row r="483" spans="1:15">
      <c r="D483">
        <v>28</v>
      </c>
      <c r="E483" t="s">
        <v>12</v>
      </c>
      <c r="F483" s="6">
        <v>36</v>
      </c>
      <c r="G483" s="6">
        <v>0</v>
      </c>
      <c r="H483" s="6">
        <v>0</v>
      </c>
      <c r="I483" s="6">
        <v>0</v>
      </c>
      <c r="J483" s="6">
        <v>400</v>
      </c>
      <c r="K483" s="6">
        <v>0</v>
      </c>
      <c r="L483" s="6">
        <v>0</v>
      </c>
      <c r="M483" s="6">
        <v>0</v>
      </c>
      <c r="N483" s="6">
        <v>0</v>
      </c>
      <c r="O483" s="6" t="s">
        <v>19</v>
      </c>
    </row>
    <row r="484" spans="1:15">
      <c r="D484">
        <v>8</v>
      </c>
      <c r="E484" t="s">
        <v>14</v>
      </c>
      <c r="F484" s="6">
        <v>0</v>
      </c>
      <c r="G484" s="6">
        <v>2</v>
      </c>
      <c r="H484" s="6">
        <v>0</v>
      </c>
      <c r="I484" s="6">
        <v>0</v>
      </c>
      <c r="J484" s="6">
        <v>0</v>
      </c>
    </row>
    <row r="485" spans="1:15">
      <c r="D485">
        <v>8</v>
      </c>
      <c r="E485" t="s">
        <v>14</v>
      </c>
      <c r="F485" s="6">
        <v>0</v>
      </c>
      <c r="G485" s="6">
        <v>1</v>
      </c>
      <c r="H485" s="6">
        <v>0</v>
      </c>
      <c r="I485" s="6">
        <f>127*256+128</f>
        <v>32640</v>
      </c>
      <c r="J485" s="6">
        <v>127</v>
      </c>
    </row>
    <row r="486" spans="1:15">
      <c r="D486">
        <v>7</v>
      </c>
      <c r="E486" t="s">
        <v>11</v>
      </c>
      <c r="F486" s="6">
        <v>0</v>
      </c>
      <c r="G486" s="6">
        <v>0</v>
      </c>
      <c r="H486" s="6">
        <v>0</v>
      </c>
      <c r="I486" s="6">
        <v>0</v>
      </c>
    </row>
    <row r="487" spans="1:15">
      <c r="D487">
        <v>4</v>
      </c>
      <c r="E487" t="s">
        <v>15</v>
      </c>
      <c r="F487" s="6">
        <v>0</v>
      </c>
    </row>
    <row r="488" spans="1:15">
      <c r="D488">
        <v>4</v>
      </c>
      <c r="E488" t="s">
        <v>15</v>
      </c>
      <c r="F488" s="6">
        <v>1</v>
      </c>
    </row>
    <row r="489" spans="1:15">
      <c r="D489">
        <v>4</v>
      </c>
      <c r="E489" t="s">
        <v>15</v>
      </c>
      <c r="F489" s="6">
        <v>3</v>
      </c>
    </row>
    <row r="490" spans="1:15">
      <c r="D490">
        <v>5</v>
      </c>
      <c r="E490" t="s">
        <v>59</v>
      </c>
      <c r="F490" s="6">
        <v>2</v>
      </c>
      <c r="G490" s="6">
        <v>0</v>
      </c>
    </row>
    <row r="491" spans="1:15">
      <c r="A491" t="s">
        <v>43</v>
      </c>
      <c r="C491">
        <v>543</v>
      </c>
      <c r="D491">
        <f t="shared" ref="D491:D504" si="25">F491*2+4</f>
        <v>8</v>
      </c>
      <c r="E491" t="s">
        <v>1</v>
      </c>
      <c r="F491" s="6">
        <v>2</v>
      </c>
      <c r="G491" s="6">
        <v>550</v>
      </c>
      <c r="H491" s="6">
        <v>700</v>
      </c>
      <c r="I491" s="6">
        <f>G491+M491</f>
        <v>760</v>
      </c>
      <c r="J491" s="6">
        <f>H491+N491</f>
        <v>630</v>
      </c>
      <c r="M491" s="6">
        <v>210</v>
      </c>
      <c r="N491" s="6">
        <v>-70</v>
      </c>
    </row>
    <row r="492" spans="1:15">
      <c r="A492" t="s">
        <v>22</v>
      </c>
      <c r="C492">
        <v>546</v>
      </c>
      <c r="D492">
        <f t="shared" si="25"/>
        <v>8</v>
      </c>
      <c r="E492" t="s">
        <v>1</v>
      </c>
      <c r="F492" s="6">
        <v>2</v>
      </c>
      <c r="G492" s="6">
        <f t="shared" ref="G492:H494" si="26">G491</f>
        <v>550</v>
      </c>
      <c r="H492" s="6">
        <f t="shared" si="26"/>
        <v>700</v>
      </c>
      <c r="I492" s="6">
        <f>G492+M492</f>
        <v>550</v>
      </c>
      <c r="J492" s="6">
        <f>H492+N492</f>
        <v>450</v>
      </c>
      <c r="M492" s="6">
        <v>0</v>
      </c>
      <c r="N492" s="6">
        <v>-250</v>
      </c>
    </row>
    <row r="493" spans="1:15">
      <c r="A493" t="s">
        <v>42</v>
      </c>
      <c r="C493">
        <v>563</v>
      </c>
      <c r="D493">
        <f t="shared" si="25"/>
        <v>8</v>
      </c>
      <c r="E493" t="s">
        <v>1</v>
      </c>
      <c r="F493" s="6">
        <v>2</v>
      </c>
      <c r="G493" s="6">
        <f t="shared" si="26"/>
        <v>550</v>
      </c>
      <c r="H493" s="6">
        <f t="shared" si="26"/>
        <v>700</v>
      </c>
      <c r="I493" s="6">
        <f>G493+M493</f>
        <v>406</v>
      </c>
      <c r="J493" s="6">
        <f>H493+N493</f>
        <v>604</v>
      </c>
      <c r="M493" s="6">
        <v>-144</v>
      </c>
      <c r="N493" s="6">
        <f>M493*2/3</f>
        <v>-96</v>
      </c>
    </row>
    <row r="494" spans="1:15">
      <c r="A494" t="s">
        <v>28</v>
      </c>
      <c r="C494">
        <v>463</v>
      </c>
      <c r="D494">
        <f t="shared" si="25"/>
        <v>8</v>
      </c>
      <c r="E494" t="s">
        <v>1</v>
      </c>
      <c r="F494" s="6">
        <v>2</v>
      </c>
      <c r="G494" s="6">
        <f t="shared" si="26"/>
        <v>550</v>
      </c>
      <c r="H494" s="6">
        <f t="shared" si="26"/>
        <v>700</v>
      </c>
      <c r="I494" s="6">
        <f>G494+M494</f>
        <v>562</v>
      </c>
      <c r="J494" s="6">
        <f>H494+N494</f>
        <v>628</v>
      </c>
      <c r="M494" s="6">
        <v>12</v>
      </c>
      <c r="N494" s="6">
        <v>-72</v>
      </c>
    </row>
    <row r="495" spans="1:15">
      <c r="A495">
        <f t="shared" ref="A495:B498" si="27">G491</f>
        <v>550</v>
      </c>
      <c r="B495">
        <f t="shared" si="27"/>
        <v>700</v>
      </c>
      <c r="C495">
        <v>20</v>
      </c>
      <c r="D495">
        <f t="shared" si="25"/>
        <v>10</v>
      </c>
      <c r="E495" t="s">
        <v>4</v>
      </c>
      <c r="F495" s="6">
        <v>3</v>
      </c>
      <c r="G495" s="6">
        <f t="shared" ref="G495:H498" si="28">I491</f>
        <v>760</v>
      </c>
      <c r="H495" s="6">
        <f t="shared" si="28"/>
        <v>630</v>
      </c>
      <c r="I495" s="6">
        <f>INT(G495-C495*COS(IF(G495-A495=0,IF(H495&gt;B495,PI()/2,-PI()/2),IF(G495-A495&lt;0,PI(),0)+ATAN((H495-B495)/(G495-A495)))-ATAN(0.5)))</f>
        <v>745</v>
      </c>
      <c r="J495" s="6">
        <f>INT(H495-C495*SIN(IF(G495-A495=0,IF(H495&gt;B495,PI()/2,-PI()/2),IF(G495-A495&lt;0,PI(),0)+ATAN((H495-B495)/(G495-A495)))-ATAN(0.5)))</f>
        <v>644</v>
      </c>
      <c r="K495" s="6">
        <f>INT(G495-C495*COS(IF(G495-A495=0,IF(H495&gt;B495,PI()/2,-PI()/2),IF(G495-A495&lt;0,PI(),0)+ATAN((H495-B495)/(G495-A495)))+ATAN(0.5)))</f>
        <v>740</v>
      </c>
      <c r="L495" s="6">
        <f>INT(H495-C495*SIN(IF(G495-A495=0,IF(H495&gt;B495,PI()/2,-PI()/2),IF(G495-A495&lt;0,PI(),0)+ATAN((H495-B495)/(G495-A495)))+ATAN(0.5)))</f>
        <v>627</v>
      </c>
    </row>
    <row r="496" spans="1:15">
      <c r="A496">
        <f t="shared" si="27"/>
        <v>550</v>
      </c>
      <c r="B496">
        <f t="shared" si="27"/>
        <v>700</v>
      </c>
      <c r="C496">
        <v>20</v>
      </c>
      <c r="D496">
        <f t="shared" si="25"/>
        <v>10</v>
      </c>
      <c r="E496" t="s">
        <v>4</v>
      </c>
      <c r="F496" s="6">
        <v>3</v>
      </c>
      <c r="G496" s="6">
        <f t="shared" si="28"/>
        <v>550</v>
      </c>
      <c r="H496" s="6">
        <f t="shared" si="28"/>
        <v>450</v>
      </c>
      <c r="I496" s="6">
        <f>INT(G496-C496*COS(IF(G496-A496=0,IF(H496&gt;B496,PI()/2,-PI()/2),IF(G496-A496&lt;0,PI(),0)+ATAN((H496-B496)/(G496-A496)))-ATAN(0.5)))</f>
        <v>558</v>
      </c>
      <c r="J496" s="6">
        <f>INT(H496-C496*SIN(IF(G496-A496=0,IF(H496&gt;B496,PI()/2,-PI()/2),IF(G496-A496&lt;0,PI(),0)+ATAN((H496-B496)/(G496-A496)))-ATAN(0.5)))</f>
        <v>467</v>
      </c>
      <c r="K496" s="6">
        <f>INT(G496-C496*COS(IF(G496-A496=0,IF(H496&gt;B496,PI()/2,-PI()/2),IF(G496-A496&lt;0,PI(),0)+ATAN((H496-B496)/(G496-A496)))+ATAN(0.5)))</f>
        <v>541</v>
      </c>
      <c r="L496" s="6">
        <f>INT(H496-C496*SIN(IF(G496-A496=0,IF(H496&gt;B496,PI()/2,-PI()/2),IF(G496-A496&lt;0,PI(),0)+ATAN((H496-B496)/(G496-A496)))+ATAN(0.5)))</f>
        <v>467</v>
      </c>
    </row>
    <row r="497" spans="1:12">
      <c r="A497">
        <f t="shared" si="27"/>
        <v>550</v>
      </c>
      <c r="B497">
        <f t="shared" si="27"/>
        <v>700</v>
      </c>
      <c r="C497">
        <v>20</v>
      </c>
      <c r="D497">
        <f t="shared" si="25"/>
        <v>10</v>
      </c>
      <c r="E497" t="s">
        <v>4</v>
      </c>
      <c r="F497" s="6">
        <v>3</v>
      </c>
      <c r="G497" s="6">
        <f t="shared" si="28"/>
        <v>406</v>
      </c>
      <c r="H497" s="6">
        <f t="shared" si="28"/>
        <v>604</v>
      </c>
      <c r="I497" s="6">
        <f>INT(G497-C497*COS(IF(G497-A497=0,IF(H497&gt;B497,PI()/2,-PI()/2),IF(G497-A497&lt;0,PI(),0)+ATAN((H497-B497)/(G497-A497)))-ATAN(0.5)))</f>
        <v>425</v>
      </c>
      <c r="J497" s="6">
        <f>INT(H497-C497*SIN(IF(G497-A497=0,IF(H497&gt;B497,PI()/2,-PI()/2),IF(G497-A497&lt;0,PI(),0)+ATAN((H497-B497)/(G497-A497)))-ATAN(0.5)))</f>
        <v>606</v>
      </c>
      <c r="K497" s="6">
        <f>INT(G497-C497*COS(IF(G497-A497=0,IF(H497&gt;B497,PI()/2,-PI()/2),IF(G497-A497&lt;0,PI(),0)+ATAN((H497-B497)/(G497-A497)))+ATAN(0.5)))</f>
        <v>415</v>
      </c>
      <c r="L497" s="6">
        <f>INT(H497-C497*SIN(IF(G497-A497=0,IF(H497&gt;B497,PI()/2,-PI()/2),IF(G497-A497&lt;0,PI(),0)+ATAN((H497-B497)/(G497-A497)))+ATAN(0.5)))</f>
        <v>621</v>
      </c>
    </row>
    <row r="498" spans="1:12">
      <c r="A498">
        <f t="shared" si="27"/>
        <v>550</v>
      </c>
      <c r="B498">
        <f t="shared" si="27"/>
        <v>700</v>
      </c>
      <c r="C498">
        <v>20</v>
      </c>
      <c r="D498">
        <f t="shared" si="25"/>
        <v>10</v>
      </c>
      <c r="E498" t="s">
        <v>4</v>
      </c>
      <c r="F498" s="6">
        <v>3</v>
      </c>
      <c r="G498" s="6">
        <f t="shared" si="28"/>
        <v>562</v>
      </c>
      <c r="H498" s="6">
        <f t="shared" si="28"/>
        <v>628</v>
      </c>
      <c r="I498" s="6">
        <f>INT(G498-C498*COS(IF(G498-A498=0,IF(H498&gt;B498,PI()/2,-PI()/2),IF(G498-A498&lt;0,PI(),0)+ATAN((H498-B498)/(G498-A498)))-ATAN(0.5)))</f>
        <v>567</v>
      </c>
      <c r="J498" s="6">
        <f>INT(H498-C498*SIN(IF(G498-A498=0,IF(H498&gt;B498,PI()/2,-PI()/2),IF(G498-A498&lt;0,PI(),0)+ATAN((H498-B498)/(G498-A498)))-ATAN(0.5)))</f>
        <v>647</v>
      </c>
      <c r="K498" s="6">
        <f>INT(G498-C498*COS(IF(G498-A498=0,IF(H498&gt;B498,PI()/2,-PI()/2),IF(G498-A498&lt;0,PI(),0)+ATAN((H498-B498)/(G498-A498)))+ATAN(0.5)))</f>
        <v>550</v>
      </c>
      <c r="L498" s="6">
        <f>INT(H498-C498*SIN(IF(G498-A498=0,IF(H498&gt;B498,PI()/2,-PI()/2),IF(G498-A498&lt;0,PI(),0)+ATAN((H498-B498)/(G498-A498)))+ATAN(0.5)))</f>
        <v>644</v>
      </c>
    </row>
    <row r="499" spans="1:12">
      <c r="C499">
        <v>542</v>
      </c>
      <c r="D499">
        <f t="shared" si="25"/>
        <v>8</v>
      </c>
      <c r="E499" t="s">
        <v>1</v>
      </c>
      <c r="F499" s="6">
        <v>2</v>
      </c>
      <c r="G499" s="6">
        <f>I491</f>
        <v>760</v>
      </c>
      <c r="H499" s="6">
        <f>J491</f>
        <v>630</v>
      </c>
      <c r="I499" s="6">
        <f>G499+M492</f>
        <v>760</v>
      </c>
      <c r="J499" s="6">
        <f>H499+N492</f>
        <v>380</v>
      </c>
    </row>
    <row r="500" spans="1:12">
      <c r="C500">
        <v>572</v>
      </c>
      <c r="D500">
        <f t="shared" si="25"/>
        <v>8</v>
      </c>
      <c r="E500" t="s">
        <v>1</v>
      </c>
      <c r="F500" s="6">
        <v>2</v>
      </c>
      <c r="G500" s="6">
        <f>I499</f>
        <v>760</v>
      </c>
      <c r="H500" s="6">
        <f>J499</f>
        <v>380</v>
      </c>
      <c r="I500" s="6">
        <f>G500+M493</f>
        <v>616</v>
      </c>
      <c r="J500" s="6">
        <f>H500+N493</f>
        <v>284</v>
      </c>
    </row>
    <row r="501" spans="1:12">
      <c r="C501">
        <v>568</v>
      </c>
      <c r="D501">
        <f t="shared" si="25"/>
        <v>8</v>
      </c>
      <c r="E501" t="s">
        <v>1</v>
      </c>
      <c r="F501" s="6">
        <v>2</v>
      </c>
      <c r="G501" s="6">
        <f>I493</f>
        <v>406</v>
      </c>
      <c r="H501" s="6">
        <f>J493</f>
        <v>604</v>
      </c>
      <c r="I501" s="6">
        <f>G501+M492</f>
        <v>406</v>
      </c>
      <c r="J501" s="6">
        <f>H501+N492</f>
        <v>354</v>
      </c>
    </row>
    <row r="502" spans="1:12">
      <c r="C502">
        <v>578</v>
      </c>
      <c r="D502">
        <f t="shared" si="25"/>
        <v>8</v>
      </c>
      <c r="E502" t="s">
        <v>1</v>
      </c>
      <c r="F502" s="6">
        <v>2</v>
      </c>
      <c r="G502" s="6">
        <f>I501</f>
        <v>406</v>
      </c>
      <c r="H502" s="6">
        <f>J501</f>
        <v>354</v>
      </c>
      <c r="I502" s="6">
        <f>G502+M491</f>
        <v>616</v>
      </c>
      <c r="J502" s="6">
        <f>H502+N491</f>
        <v>284</v>
      </c>
    </row>
    <row r="503" spans="1:12">
      <c r="C503">
        <v>547</v>
      </c>
      <c r="D503">
        <f t="shared" si="25"/>
        <v>8</v>
      </c>
      <c r="E503" t="s">
        <v>1</v>
      </c>
      <c r="F503" s="6">
        <v>2</v>
      </c>
      <c r="G503" s="6">
        <f>I492</f>
        <v>550</v>
      </c>
      <c r="H503" s="6">
        <f>J492</f>
        <v>450</v>
      </c>
      <c r="I503" s="6">
        <f>G503+M491</f>
        <v>760</v>
      </c>
      <c r="J503" s="6">
        <f>H503+N491</f>
        <v>380</v>
      </c>
    </row>
    <row r="504" spans="1:12">
      <c r="C504">
        <v>576</v>
      </c>
      <c r="D504">
        <f t="shared" si="25"/>
        <v>8</v>
      </c>
      <c r="E504" t="s">
        <v>1</v>
      </c>
      <c r="F504" s="6">
        <v>2</v>
      </c>
      <c r="G504" s="6">
        <f>G503</f>
        <v>550</v>
      </c>
      <c r="H504" s="6">
        <f>H503</f>
        <v>450</v>
      </c>
      <c r="I504" s="6">
        <f>G504+M493</f>
        <v>406</v>
      </c>
      <c r="J504" s="6">
        <f>H504+N493</f>
        <v>354</v>
      </c>
    </row>
    <row r="505" spans="1:12">
      <c r="D505">
        <v>4</v>
      </c>
      <c r="E505" t="s">
        <v>15</v>
      </c>
      <c r="F505" s="6">
        <v>2</v>
      </c>
    </row>
    <row r="506" spans="1:12">
      <c r="C506">
        <v>583</v>
      </c>
      <c r="D506">
        <f>F506*2+4</f>
        <v>8</v>
      </c>
      <c r="E506" t="s">
        <v>1</v>
      </c>
      <c r="F506" s="6">
        <v>2</v>
      </c>
      <c r="G506" s="6">
        <f>I493</f>
        <v>406</v>
      </c>
      <c r="H506" s="6">
        <f>J493</f>
        <v>604</v>
      </c>
      <c r="I506" s="6">
        <f>G506+M491</f>
        <v>616</v>
      </c>
      <c r="J506" s="6">
        <f>H506+N491</f>
        <v>534</v>
      </c>
    </row>
    <row r="507" spans="1:12">
      <c r="C507">
        <v>523</v>
      </c>
      <c r="D507">
        <f>F507*2+4</f>
        <v>8</v>
      </c>
      <c r="E507" t="s">
        <v>1</v>
      </c>
      <c r="F507" s="6">
        <v>2</v>
      </c>
      <c r="G507" s="6">
        <f>I491</f>
        <v>760</v>
      </c>
      <c r="H507" s="6">
        <f>J491</f>
        <v>630</v>
      </c>
      <c r="I507" s="6">
        <f>G507+M493</f>
        <v>616</v>
      </c>
      <c r="J507" s="6">
        <f>H507+N493</f>
        <v>534</v>
      </c>
    </row>
    <row r="508" spans="1:12">
      <c r="C508">
        <v>582</v>
      </c>
      <c r="D508">
        <f>F508*2+4</f>
        <v>8</v>
      </c>
      <c r="E508" t="s">
        <v>1</v>
      </c>
      <c r="F508" s="6">
        <v>2</v>
      </c>
      <c r="G508" s="6">
        <f>I507</f>
        <v>616</v>
      </c>
      <c r="H508" s="6">
        <f>J507</f>
        <v>534</v>
      </c>
      <c r="I508" s="6">
        <f>G508+M492</f>
        <v>616</v>
      </c>
      <c r="J508" s="6">
        <f>H508+N492</f>
        <v>284</v>
      </c>
    </row>
    <row r="509" spans="1:12">
      <c r="D509">
        <v>4</v>
      </c>
      <c r="E509" t="s">
        <v>15</v>
      </c>
      <c r="F509" s="6">
        <v>1</v>
      </c>
    </row>
    <row r="510" spans="1:12">
      <c r="B510" t="s">
        <v>70</v>
      </c>
      <c r="C510">
        <v>143</v>
      </c>
      <c r="D510">
        <f t="shared" ref="D510:D518" si="29">F510*2+4</f>
        <v>8</v>
      </c>
      <c r="E510" t="s">
        <v>1</v>
      </c>
      <c r="F510" s="6">
        <v>2</v>
      </c>
      <c r="G510" s="6">
        <f>I494</f>
        <v>562</v>
      </c>
      <c r="H510" s="6">
        <f>J494</f>
        <v>628</v>
      </c>
      <c r="I510" s="6">
        <f>G510+M491/2</f>
        <v>667</v>
      </c>
      <c r="J510" s="6">
        <f>H510+N491/2</f>
        <v>593</v>
      </c>
    </row>
    <row r="511" spans="1:12">
      <c r="C511">
        <v>146</v>
      </c>
      <c r="D511">
        <f t="shared" si="29"/>
        <v>8</v>
      </c>
      <c r="E511" t="s">
        <v>1</v>
      </c>
      <c r="F511" s="6">
        <v>2</v>
      </c>
      <c r="G511" s="6">
        <f>G510</f>
        <v>562</v>
      </c>
      <c r="H511" s="6">
        <f>H510</f>
        <v>628</v>
      </c>
      <c r="I511" s="6">
        <f>G511+M492/2</f>
        <v>562</v>
      </c>
      <c r="J511" s="6">
        <f>H511+N492/2</f>
        <v>503</v>
      </c>
    </row>
    <row r="512" spans="1:12">
      <c r="C512">
        <v>163</v>
      </c>
      <c r="D512">
        <f t="shared" si="29"/>
        <v>8</v>
      </c>
      <c r="E512" t="s">
        <v>1</v>
      </c>
      <c r="F512" s="6">
        <v>2</v>
      </c>
      <c r="G512" s="6">
        <f>G511</f>
        <v>562</v>
      </c>
      <c r="H512" s="6">
        <f>H511</f>
        <v>628</v>
      </c>
      <c r="I512" s="6">
        <f>G512+M493/2</f>
        <v>490</v>
      </c>
      <c r="J512" s="6">
        <f>H512+N493/2</f>
        <v>580</v>
      </c>
    </row>
    <row r="513" spans="2:10">
      <c r="C513">
        <v>142</v>
      </c>
      <c r="D513">
        <f t="shared" si="29"/>
        <v>8</v>
      </c>
      <c r="E513" t="s">
        <v>1</v>
      </c>
      <c r="F513" s="6">
        <v>2</v>
      </c>
      <c r="G513" s="6">
        <f>I510</f>
        <v>667</v>
      </c>
      <c r="H513" s="6">
        <f>J510</f>
        <v>593</v>
      </c>
      <c r="I513" s="6">
        <f>G513+M492/2</f>
        <v>667</v>
      </c>
      <c r="J513" s="6">
        <f>H513+N492/2</f>
        <v>468</v>
      </c>
    </row>
    <row r="514" spans="2:10">
      <c r="C514">
        <v>172</v>
      </c>
      <c r="D514">
        <f t="shared" si="29"/>
        <v>8</v>
      </c>
      <c r="E514" t="s">
        <v>1</v>
      </c>
      <c r="F514" s="6">
        <v>2</v>
      </c>
      <c r="G514" s="6">
        <f>I513</f>
        <v>667</v>
      </c>
      <c r="H514" s="6">
        <f>J513</f>
        <v>468</v>
      </c>
      <c r="I514" s="6">
        <f>G514+M493/2</f>
        <v>595</v>
      </c>
      <c r="J514" s="6">
        <f>H514+N493/2</f>
        <v>420</v>
      </c>
    </row>
    <row r="515" spans="2:10">
      <c r="C515">
        <v>168</v>
      </c>
      <c r="D515">
        <f t="shared" si="29"/>
        <v>8</v>
      </c>
      <c r="E515" t="s">
        <v>1</v>
      </c>
      <c r="F515" s="6">
        <v>2</v>
      </c>
      <c r="G515" s="6">
        <f>I512</f>
        <v>490</v>
      </c>
      <c r="H515" s="6">
        <f>J512</f>
        <v>580</v>
      </c>
      <c r="I515" s="6">
        <f>G515+M492/2</f>
        <v>490</v>
      </c>
      <c r="J515" s="6">
        <f>H515+N492/2</f>
        <v>455</v>
      </c>
    </row>
    <row r="516" spans="2:10">
      <c r="C516">
        <v>178</v>
      </c>
      <c r="D516">
        <f t="shared" si="29"/>
        <v>8</v>
      </c>
      <c r="E516" t="s">
        <v>1</v>
      </c>
      <c r="F516" s="6">
        <v>2</v>
      </c>
      <c r="G516" s="6">
        <f>I515</f>
        <v>490</v>
      </c>
      <c r="H516" s="6">
        <f>J515</f>
        <v>455</v>
      </c>
      <c r="I516" s="6">
        <f>G516+M491/2</f>
        <v>595</v>
      </c>
      <c r="J516" s="6">
        <f>H516+N491/2</f>
        <v>420</v>
      </c>
    </row>
    <row r="517" spans="2:10">
      <c r="C517">
        <v>147</v>
      </c>
      <c r="D517">
        <f t="shared" si="29"/>
        <v>8</v>
      </c>
      <c r="E517" t="s">
        <v>1</v>
      </c>
      <c r="F517" s="6">
        <v>2</v>
      </c>
      <c r="G517" s="6">
        <f>I511</f>
        <v>562</v>
      </c>
      <c r="H517" s="6">
        <f>J511</f>
        <v>503</v>
      </c>
      <c r="I517" s="6">
        <f>G517+M491/2</f>
        <v>667</v>
      </c>
      <c r="J517" s="6">
        <f>H517+N491/2</f>
        <v>468</v>
      </c>
    </row>
    <row r="518" spans="2:10">
      <c r="C518">
        <v>176</v>
      </c>
      <c r="D518">
        <f t="shared" si="29"/>
        <v>8</v>
      </c>
      <c r="E518" t="s">
        <v>1</v>
      </c>
      <c r="F518" s="6">
        <v>2</v>
      </c>
      <c r="G518" s="6">
        <f>G517</f>
        <v>562</v>
      </c>
      <c r="H518" s="6">
        <f>H517</f>
        <v>503</v>
      </c>
      <c r="I518" s="6">
        <f>G518+M493/2</f>
        <v>490</v>
      </c>
      <c r="J518" s="6">
        <f>H518+N493/2</f>
        <v>455</v>
      </c>
    </row>
    <row r="519" spans="2:10">
      <c r="D519">
        <v>4</v>
      </c>
      <c r="E519" t="s">
        <v>15</v>
      </c>
      <c r="F519" s="6">
        <v>2</v>
      </c>
    </row>
    <row r="520" spans="2:10">
      <c r="C520">
        <v>183</v>
      </c>
      <c r="D520">
        <f>F520*2+4</f>
        <v>8</v>
      </c>
      <c r="E520" t="s">
        <v>1</v>
      </c>
      <c r="F520" s="6">
        <v>2</v>
      </c>
      <c r="G520" s="6">
        <f>I512</f>
        <v>490</v>
      </c>
      <c r="H520" s="6">
        <f>J512</f>
        <v>580</v>
      </c>
      <c r="I520" s="6">
        <f>G520+M491/2</f>
        <v>595</v>
      </c>
      <c r="J520" s="6">
        <f>H520+N491/2</f>
        <v>545</v>
      </c>
    </row>
    <row r="521" spans="2:10">
      <c r="C521">
        <v>123</v>
      </c>
      <c r="D521">
        <f>F521*2+4</f>
        <v>8</v>
      </c>
      <c r="E521" t="s">
        <v>1</v>
      </c>
      <c r="F521" s="6">
        <v>2</v>
      </c>
      <c r="G521" s="6">
        <f>I510</f>
        <v>667</v>
      </c>
      <c r="H521" s="6">
        <f>J510</f>
        <v>593</v>
      </c>
      <c r="I521" s="6">
        <f>G521+M493/2</f>
        <v>595</v>
      </c>
      <c r="J521" s="6">
        <f>H521+N493/2</f>
        <v>545</v>
      </c>
    </row>
    <row r="522" spans="2:10">
      <c r="C522">
        <v>182</v>
      </c>
      <c r="D522">
        <f>F522*2+4</f>
        <v>8</v>
      </c>
      <c r="E522" t="s">
        <v>1</v>
      </c>
      <c r="F522" s="6">
        <v>2</v>
      </c>
      <c r="G522" s="6">
        <f>I521</f>
        <v>595</v>
      </c>
      <c r="H522" s="6">
        <f>J521</f>
        <v>545</v>
      </c>
      <c r="I522" s="6">
        <f>G522+M492/2</f>
        <v>595</v>
      </c>
      <c r="J522" s="6">
        <f>H522+N492/2</f>
        <v>420</v>
      </c>
    </row>
    <row r="523" spans="2:10">
      <c r="B523" t="s">
        <v>71</v>
      </c>
      <c r="C523">
        <v>238</v>
      </c>
      <c r="D523">
        <f>F523*2+4</f>
        <v>8</v>
      </c>
      <c r="E523" t="s">
        <v>1</v>
      </c>
      <c r="F523" s="6">
        <v>2</v>
      </c>
      <c r="G523" s="6">
        <f>I507</f>
        <v>616</v>
      </c>
      <c r="H523" s="6">
        <f>J507</f>
        <v>534</v>
      </c>
      <c r="I523" s="6">
        <f>I521</f>
        <v>595</v>
      </c>
      <c r="J523" s="6">
        <f>J521</f>
        <v>545</v>
      </c>
    </row>
    <row r="524" spans="2:10">
      <c r="D524">
        <v>4</v>
      </c>
      <c r="E524" t="s">
        <v>15</v>
      </c>
      <c r="F524" s="6">
        <v>1</v>
      </c>
    </row>
    <row r="525" spans="2:10">
      <c r="C525">
        <v>432</v>
      </c>
      <c r="D525">
        <f t="shared" ref="D525:D530" si="30">F525*2+4</f>
        <v>8</v>
      </c>
      <c r="E525" t="s">
        <v>1</v>
      </c>
      <c r="F525" s="6">
        <v>2</v>
      </c>
      <c r="G525" s="6">
        <f>I491</f>
        <v>760</v>
      </c>
      <c r="H525" s="6">
        <f>J491</f>
        <v>630</v>
      </c>
      <c r="I525" s="6">
        <f>I510</f>
        <v>667</v>
      </c>
      <c r="J525" s="6">
        <f>J510</f>
        <v>593</v>
      </c>
    </row>
    <row r="526" spans="2:10">
      <c r="C526">
        <v>368</v>
      </c>
      <c r="D526">
        <f t="shared" si="30"/>
        <v>8</v>
      </c>
      <c r="E526" t="s">
        <v>1</v>
      </c>
      <c r="F526" s="6">
        <v>2</v>
      </c>
      <c r="G526" s="6">
        <f>I493</f>
        <v>406</v>
      </c>
      <c r="H526" s="6">
        <f>J493</f>
        <v>604</v>
      </c>
      <c r="I526" s="6">
        <f>I512</f>
        <v>490</v>
      </c>
      <c r="J526" s="6">
        <f>J512</f>
        <v>580</v>
      </c>
    </row>
    <row r="527" spans="2:10">
      <c r="C527">
        <v>467</v>
      </c>
      <c r="D527">
        <f t="shared" si="30"/>
        <v>8</v>
      </c>
      <c r="E527" t="s">
        <v>1</v>
      </c>
      <c r="F527" s="6">
        <v>2</v>
      </c>
      <c r="G527" s="6">
        <f>I492</f>
        <v>550</v>
      </c>
      <c r="H527" s="6">
        <f>J492</f>
        <v>450</v>
      </c>
      <c r="I527" s="6">
        <f>I511</f>
        <v>562</v>
      </c>
      <c r="J527" s="6">
        <f>J511</f>
        <v>503</v>
      </c>
    </row>
    <row r="528" spans="2:10">
      <c r="C528">
        <v>274</v>
      </c>
      <c r="D528">
        <f t="shared" si="30"/>
        <v>8</v>
      </c>
      <c r="E528" t="s">
        <v>1</v>
      </c>
      <c r="F528" s="6">
        <v>2</v>
      </c>
      <c r="G528" s="6">
        <f t="shared" ref="G528:H530" si="31">I499</f>
        <v>760</v>
      </c>
      <c r="H528" s="6">
        <f t="shared" si="31"/>
        <v>380</v>
      </c>
      <c r="I528" s="6">
        <f t="shared" ref="I528:J530" si="32">I513</f>
        <v>667</v>
      </c>
      <c r="J528" s="6">
        <f t="shared" si="32"/>
        <v>468</v>
      </c>
    </row>
    <row r="529" spans="1:10">
      <c r="C529">
        <v>782</v>
      </c>
      <c r="D529">
        <f t="shared" si="30"/>
        <v>8</v>
      </c>
      <c r="E529" t="s">
        <v>1</v>
      </c>
      <c r="F529" s="6">
        <v>2</v>
      </c>
      <c r="G529" s="6">
        <f t="shared" si="31"/>
        <v>616</v>
      </c>
      <c r="H529" s="6">
        <f t="shared" si="31"/>
        <v>284</v>
      </c>
      <c r="I529" s="6">
        <f t="shared" si="32"/>
        <v>595</v>
      </c>
      <c r="J529" s="6">
        <f t="shared" si="32"/>
        <v>420</v>
      </c>
    </row>
    <row r="530" spans="1:10">
      <c r="C530">
        <v>768</v>
      </c>
      <c r="D530">
        <f t="shared" si="30"/>
        <v>8</v>
      </c>
      <c r="E530" t="s">
        <v>1</v>
      </c>
      <c r="F530" s="6">
        <v>2</v>
      </c>
      <c r="G530" s="6">
        <f t="shared" si="31"/>
        <v>406</v>
      </c>
      <c r="H530" s="6">
        <f t="shared" si="31"/>
        <v>354</v>
      </c>
      <c r="I530" s="6">
        <f t="shared" si="32"/>
        <v>490</v>
      </c>
      <c r="J530" s="6">
        <f t="shared" si="32"/>
        <v>455</v>
      </c>
    </row>
    <row r="531" spans="1:10">
      <c r="D531">
        <f>ROUNDUP(6+F531/2,0)</f>
        <v>7</v>
      </c>
      <c r="E531" t="s">
        <v>6</v>
      </c>
      <c r="F531" s="6">
        <f>LEN(G531)</f>
        <v>1</v>
      </c>
      <c r="G531" s="6" t="s">
        <v>43</v>
      </c>
      <c r="H531" s="6">
        <f>H495-20</f>
        <v>610</v>
      </c>
      <c r="I531" s="6">
        <f>G495+5</f>
        <v>765</v>
      </c>
    </row>
    <row r="532" spans="1:10">
      <c r="D532">
        <f>ROUNDUP(6+F532/2,0)</f>
        <v>7</v>
      </c>
      <c r="E532" t="s">
        <v>6</v>
      </c>
      <c r="F532" s="6">
        <f>LEN(G532)</f>
        <v>1</v>
      </c>
      <c r="G532" s="6" t="s">
        <v>42</v>
      </c>
      <c r="H532" s="6">
        <f>H496-30</f>
        <v>420</v>
      </c>
      <c r="I532" s="6">
        <f>G496-15</f>
        <v>535</v>
      </c>
    </row>
    <row r="533" spans="1:10">
      <c r="D533">
        <f>ROUNDUP(6+F533/2,0)</f>
        <v>7</v>
      </c>
      <c r="E533" t="s">
        <v>6</v>
      </c>
      <c r="F533" s="6">
        <f>LEN(G533)</f>
        <v>1</v>
      </c>
      <c r="G533" s="6" t="s">
        <v>22</v>
      </c>
      <c r="H533" s="6">
        <f>H497-35</f>
        <v>569</v>
      </c>
      <c r="I533" s="6">
        <f>G497-15</f>
        <v>391</v>
      </c>
    </row>
    <row r="534" spans="1:10">
      <c r="D534">
        <f>ROUNDUP(6+F534/2,0)</f>
        <v>8</v>
      </c>
      <c r="E534" t="s">
        <v>6</v>
      </c>
      <c r="F534" s="6">
        <f>LEN(G534)</f>
        <v>3</v>
      </c>
      <c r="G534" s="32" t="s">
        <v>80</v>
      </c>
      <c r="H534" s="6">
        <f>H498-35</f>
        <v>593</v>
      </c>
      <c r="I534" s="6">
        <f>G498-15</f>
        <v>547</v>
      </c>
    </row>
    <row r="535" spans="1:10">
      <c r="A535" t="s">
        <v>72</v>
      </c>
      <c r="B535">
        <v>0</v>
      </c>
      <c r="C535">
        <v>-400</v>
      </c>
      <c r="D535">
        <f>F535*2+4</f>
        <v>8</v>
      </c>
      <c r="E535" t="s">
        <v>1</v>
      </c>
      <c r="F535" s="6">
        <v>2</v>
      </c>
      <c r="G535" s="6">
        <f>B535+G510</f>
        <v>562</v>
      </c>
      <c r="H535" s="6">
        <f>C535+H510</f>
        <v>228</v>
      </c>
      <c r="I535" s="6">
        <f>B535+I510</f>
        <v>667</v>
      </c>
      <c r="J535" s="6">
        <f>C535+J510</f>
        <v>193</v>
      </c>
    </row>
    <row r="536" spans="1:10">
      <c r="D536">
        <f>D535</f>
        <v>8</v>
      </c>
      <c r="E536" t="str">
        <f t="shared" ref="E536:F546" si="33">E535</f>
        <v>Polylinie</v>
      </c>
      <c r="F536" s="6">
        <f t="shared" si="33"/>
        <v>2</v>
      </c>
      <c r="G536" s="6">
        <f>B535+G511</f>
        <v>562</v>
      </c>
      <c r="H536" s="6">
        <f>C535+H511</f>
        <v>228</v>
      </c>
      <c r="I536" s="6">
        <f>B535+I511</f>
        <v>562</v>
      </c>
      <c r="J536" s="6">
        <f>C535+J511</f>
        <v>103</v>
      </c>
    </row>
    <row r="537" spans="1:10">
      <c r="D537">
        <f t="shared" ref="D537:D546" si="34">D536</f>
        <v>8</v>
      </c>
      <c r="E537" t="str">
        <f t="shared" si="33"/>
        <v>Polylinie</v>
      </c>
      <c r="F537" s="6">
        <f t="shared" si="33"/>
        <v>2</v>
      </c>
      <c r="G537" s="6">
        <f>B535+G512</f>
        <v>562</v>
      </c>
      <c r="H537" s="6">
        <f>C535+H512</f>
        <v>228</v>
      </c>
      <c r="I537" s="6">
        <f>B535+I512</f>
        <v>490</v>
      </c>
      <c r="J537" s="6">
        <f>C535+J512</f>
        <v>180</v>
      </c>
    </row>
    <row r="538" spans="1:10">
      <c r="D538">
        <f t="shared" si="34"/>
        <v>8</v>
      </c>
      <c r="E538" t="str">
        <f t="shared" si="33"/>
        <v>Polylinie</v>
      </c>
      <c r="F538" s="6">
        <f t="shared" si="33"/>
        <v>2</v>
      </c>
      <c r="G538" s="6">
        <f>B535+G513</f>
        <v>667</v>
      </c>
      <c r="H538" s="6">
        <f>C535+H513</f>
        <v>193</v>
      </c>
      <c r="I538" s="6">
        <f>B535+I513</f>
        <v>667</v>
      </c>
      <c r="J538" s="6">
        <f>C535+J513</f>
        <v>68</v>
      </c>
    </row>
    <row r="539" spans="1:10">
      <c r="D539">
        <f t="shared" si="34"/>
        <v>8</v>
      </c>
      <c r="E539" t="str">
        <f t="shared" si="33"/>
        <v>Polylinie</v>
      </c>
      <c r="F539" s="6">
        <f t="shared" si="33"/>
        <v>2</v>
      </c>
      <c r="G539" s="6">
        <f>B535+G514</f>
        <v>667</v>
      </c>
      <c r="H539" s="6">
        <f>C535+H514</f>
        <v>68</v>
      </c>
      <c r="I539" s="6">
        <f>B535+I514</f>
        <v>595</v>
      </c>
      <c r="J539" s="6">
        <f>C535+J514</f>
        <v>20</v>
      </c>
    </row>
    <row r="540" spans="1:10">
      <c r="D540">
        <f t="shared" si="34"/>
        <v>8</v>
      </c>
      <c r="E540" t="str">
        <f t="shared" si="33"/>
        <v>Polylinie</v>
      </c>
      <c r="F540" s="6">
        <f t="shared" si="33"/>
        <v>2</v>
      </c>
      <c r="G540" s="6">
        <f>B535+G515</f>
        <v>490</v>
      </c>
      <c r="H540" s="6">
        <f>C535+H515</f>
        <v>180</v>
      </c>
      <c r="I540" s="6">
        <f>B535+I515</f>
        <v>490</v>
      </c>
      <c r="J540" s="6">
        <f>C535+J515</f>
        <v>55</v>
      </c>
    </row>
    <row r="541" spans="1:10">
      <c r="D541">
        <f t="shared" si="34"/>
        <v>8</v>
      </c>
      <c r="E541" t="str">
        <f t="shared" si="33"/>
        <v>Polylinie</v>
      </c>
      <c r="F541" s="6">
        <f t="shared" si="33"/>
        <v>2</v>
      </c>
      <c r="G541" s="6">
        <f>B535+G516</f>
        <v>490</v>
      </c>
      <c r="H541" s="6">
        <f>C535+H516</f>
        <v>55</v>
      </c>
      <c r="I541" s="6">
        <f>B535+I516</f>
        <v>595</v>
      </c>
      <c r="J541" s="6">
        <f>C535+J516</f>
        <v>20</v>
      </c>
    </row>
    <row r="542" spans="1:10">
      <c r="D542">
        <f t="shared" si="34"/>
        <v>8</v>
      </c>
      <c r="E542" t="str">
        <f t="shared" si="33"/>
        <v>Polylinie</v>
      </c>
      <c r="F542" s="6">
        <f t="shared" si="33"/>
        <v>2</v>
      </c>
      <c r="G542" s="6">
        <f>B535+G517</f>
        <v>562</v>
      </c>
      <c r="H542" s="6">
        <f>C535+H517</f>
        <v>103</v>
      </c>
      <c r="I542" s="6">
        <f>B535+I517</f>
        <v>667</v>
      </c>
      <c r="J542" s="6">
        <f>C535+J517</f>
        <v>68</v>
      </c>
    </row>
    <row r="543" spans="1:10">
      <c r="D543">
        <f t="shared" si="34"/>
        <v>8</v>
      </c>
      <c r="E543" t="str">
        <f t="shared" si="33"/>
        <v>Polylinie</v>
      </c>
      <c r="F543" s="6">
        <f t="shared" si="33"/>
        <v>2</v>
      </c>
      <c r="G543" s="6">
        <f>B535+G518</f>
        <v>562</v>
      </c>
      <c r="H543" s="6">
        <f>C535+H518</f>
        <v>103</v>
      </c>
      <c r="I543" s="6">
        <f>B535+I518</f>
        <v>490</v>
      </c>
      <c r="J543" s="6">
        <f>C535+J518</f>
        <v>55</v>
      </c>
    </row>
    <row r="544" spans="1:10">
      <c r="D544">
        <f t="shared" si="34"/>
        <v>8</v>
      </c>
      <c r="E544" t="str">
        <f t="shared" si="33"/>
        <v>Polylinie</v>
      </c>
      <c r="F544" s="6">
        <f t="shared" si="33"/>
        <v>2</v>
      </c>
      <c r="G544" s="6">
        <f>B535+G520</f>
        <v>490</v>
      </c>
      <c r="H544" s="6">
        <f>C535+H520</f>
        <v>180</v>
      </c>
      <c r="I544" s="6">
        <f>B535+I520</f>
        <v>595</v>
      </c>
      <c r="J544" s="6">
        <f>C535+J520</f>
        <v>145</v>
      </c>
    </row>
    <row r="545" spans="1:12">
      <c r="D545">
        <f t="shared" si="34"/>
        <v>8</v>
      </c>
      <c r="E545" t="str">
        <f t="shared" si="33"/>
        <v>Polylinie</v>
      </c>
      <c r="F545" s="6">
        <f t="shared" si="33"/>
        <v>2</v>
      </c>
      <c r="G545" s="6">
        <f>B535+G521</f>
        <v>667</v>
      </c>
      <c r="H545" s="6">
        <f>C535+H521</f>
        <v>193</v>
      </c>
      <c r="I545" s="6">
        <f>B535+I521</f>
        <v>595</v>
      </c>
      <c r="J545" s="6">
        <f>C535+J521</f>
        <v>145</v>
      </c>
    </row>
    <row r="546" spans="1:12">
      <c r="D546">
        <f t="shared" si="34"/>
        <v>8</v>
      </c>
      <c r="E546" t="str">
        <f t="shared" si="33"/>
        <v>Polylinie</v>
      </c>
      <c r="F546" s="6">
        <f t="shared" si="33"/>
        <v>2</v>
      </c>
      <c r="G546" s="6">
        <f>B535+G522</f>
        <v>595</v>
      </c>
      <c r="H546" s="6">
        <f>C535+H522</f>
        <v>145</v>
      </c>
      <c r="I546" s="6">
        <f>B535+I522</f>
        <v>595</v>
      </c>
      <c r="J546" s="6">
        <f>C535+J522</f>
        <v>20</v>
      </c>
    </row>
    <row r="547" spans="1:12">
      <c r="A547">
        <f t="shared" ref="A547:B549" si="35">G535</f>
        <v>562</v>
      </c>
      <c r="B547">
        <f t="shared" si="35"/>
        <v>228</v>
      </c>
      <c r="C547">
        <v>20</v>
      </c>
      <c r="D547">
        <f>F547*2+4</f>
        <v>10</v>
      </c>
      <c r="E547" t="s">
        <v>4</v>
      </c>
      <c r="F547" s="6">
        <v>3</v>
      </c>
      <c r="G547" s="6">
        <f t="shared" ref="G547:H549" si="36">I535</f>
        <v>667</v>
      </c>
      <c r="H547" s="6">
        <f t="shared" si="36"/>
        <v>193</v>
      </c>
      <c r="I547" s="6">
        <f>INT(G547-C547*COS(IF(G547-A547=0,IF(H547&gt;B547,PI()/2,-PI()/2),IF(G547-A547&lt;0,PI(),0)+ATAN((H547-B547)/(G547-A547)))-ATAN(0.5)))</f>
        <v>652</v>
      </c>
      <c r="J547" s="6">
        <f>INT(H547-C547*SIN(IF(G547-A547=0,IF(H547&gt;B547,PI()/2,-PI()/2),IF(G547-A547&lt;0,PI(),0)+ATAN((H547-B547)/(G547-A547)))-ATAN(0.5)))</f>
        <v>207</v>
      </c>
      <c r="K547" s="6">
        <f>INT(G547-C547*COS(IF(G547-A547=0,IF(H547&gt;B547,PI()/2,-PI()/2),IF(G547-A547&lt;0,PI(),0)+ATAN((H547-B547)/(G547-A547)))+ATAN(0.5)))</f>
        <v>647</v>
      </c>
      <c r="L547" s="6">
        <f>INT(H547-C547*SIN(IF(G547-A547=0,IF(H547&gt;B547,PI()/2,-PI()/2),IF(G547-A547&lt;0,PI(),0)+ATAN((H547-B547)/(G547-A547)))+ATAN(0.5)))</f>
        <v>190</v>
      </c>
    </row>
    <row r="548" spans="1:12">
      <c r="A548">
        <f t="shared" si="35"/>
        <v>562</v>
      </c>
      <c r="B548">
        <f t="shared" si="35"/>
        <v>228</v>
      </c>
      <c r="C548">
        <v>20</v>
      </c>
      <c r="D548">
        <f>F548*2+4</f>
        <v>10</v>
      </c>
      <c r="E548" t="s">
        <v>4</v>
      </c>
      <c r="F548" s="6">
        <v>3</v>
      </c>
      <c r="G548" s="6">
        <f t="shared" si="36"/>
        <v>562</v>
      </c>
      <c r="H548" s="6">
        <f t="shared" si="36"/>
        <v>103</v>
      </c>
      <c r="I548" s="6">
        <f>INT(G548-C548*COS(IF(G548-A548=0,IF(H548&gt;B548,PI()/2,-PI()/2),IF(G548-A548&lt;0,PI(),0)+ATAN((H548-B548)/(G548-A548)))-ATAN(0.5)))</f>
        <v>570</v>
      </c>
      <c r="J548" s="6">
        <f>INT(H548-C548*SIN(IF(G548-A548=0,IF(H548&gt;B548,PI()/2,-PI()/2),IF(G548-A548&lt;0,PI(),0)+ATAN((H548-B548)/(G548-A548)))-ATAN(0.5)))</f>
        <v>120</v>
      </c>
      <c r="K548" s="6">
        <f>INT(G548-C548*COS(IF(G548-A548=0,IF(H548&gt;B548,PI()/2,-PI()/2),IF(G548-A548&lt;0,PI(),0)+ATAN((H548-B548)/(G548-A548)))+ATAN(0.5)))</f>
        <v>553</v>
      </c>
      <c r="L548" s="6">
        <f>INT(H548-C548*SIN(IF(G548-A548=0,IF(H548&gt;B548,PI()/2,-PI()/2),IF(G548-A548&lt;0,PI(),0)+ATAN((H548-B548)/(G548-A548)))+ATAN(0.5)))</f>
        <v>120</v>
      </c>
    </row>
    <row r="549" spans="1:12">
      <c r="A549">
        <f t="shared" si="35"/>
        <v>562</v>
      </c>
      <c r="B549">
        <f t="shared" si="35"/>
        <v>228</v>
      </c>
      <c r="C549">
        <v>20</v>
      </c>
      <c r="D549">
        <f>F549*2+4</f>
        <v>10</v>
      </c>
      <c r="E549" t="s">
        <v>4</v>
      </c>
      <c r="F549" s="6">
        <v>3</v>
      </c>
      <c r="G549" s="6">
        <f t="shared" si="36"/>
        <v>490</v>
      </c>
      <c r="H549" s="6">
        <f t="shared" si="36"/>
        <v>180</v>
      </c>
      <c r="I549" s="6">
        <f>INT(G549-C549*COS(IF(G549-A549=0,IF(H549&gt;B549,PI()/2,-PI()/2),IF(G549-A549&lt;0,PI(),0)+ATAN((H549-B549)/(G549-A549)))-ATAN(0.5)))</f>
        <v>509</v>
      </c>
      <c r="J549" s="6">
        <f>INT(H549-C549*SIN(IF(G549-A549=0,IF(H549&gt;B549,PI()/2,-PI()/2),IF(G549-A549&lt;0,PI(),0)+ATAN((H549-B549)/(G549-A549)))-ATAN(0.5)))</f>
        <v>182</v>
      </c>
      <c r="K549" s="6">
        <f>INT(G549-C549*COS(IF(G549-A549=0,IF(H549&gt;B549,PI()/2,-PI()/2),IF(G549-A549&lt;0,PI(),0)+ATAN((H549-B549)/(G549-A549)))+ATAN(0.5)))</f>
        <v>499</v>
      </c>
      <c r="L549" s="6">
        <f>INT(H549-C549*SIN(IF(G549-A549=0,IF(H549&gt;B549,PI()/2,-PI()/2),IF(G549-A549&lt;0,PI(),0)+ATAN((H549-B549)/(G549-A549)))+ATAN(0.5)))</f>
        <v>197</v>
      </c>
    </row>
    <row r="550" spans="1:12">
      <c r="D550">
        <f>ROUNDUP(6+F550/2,0)</f>
        <v>7</v>
      </c>
      <c r="E550" t="s">
        <v>6</v>
      </c>
      <c r="F550" s="6">
        <f>LEN(G550)</f>
        <v>1</v>
      </c>
      <c r="G550" s="6" t="s">
        <v>43</v>
      </c>
      <c r="H550" s="6">
        <f>H547-20</f>
        <v>173</v>
      </c>
      <c r="I550" s="6">
        <f>G547+5</f>
        <v>672</v>
      </c>
    </row>
    <row r="551" spans="1:12">
      <c r="D551">
        <f>ROUNDUP(6+F551/2,0)</f>
        <v>7</v>
      </c>
      <c r="E551" t="s">
        <v>6</v>
      </c>
      <c r="F551" s="6">
        <f>LEN(G551)</f>
        <v>1</v>
      </c>
      <c r="G551" s="6" t="s">
        <v>42</v>
      </c>
      <c r="H551" s="6">
        <f>H548-30</f>
        <v>73</v>
      </c>
      <c r="I551" s="6">
        <f>G548-15</f>
        <v>547</v>
      </c>
    </row>
    <row r="552" spans="1:12">
      <c r="D552">
        <f>ROUNDUP(6+F552/2,0)</f>
        <v>7</v>
      </c>
      <c r="E552" t="s">
        <v>6</v>
      </c>
      <c r="F552" s="6">
        <f>LEN(G552)</f>
        <v>1</v>
      </c>
      <c r="G552" s="6" t="s">
        <v>22</v>
      </c>
      <c r="H552" s="6">
        <f>H549-35</f>
        <v>145</v>
      </c>
      <c r="I552" s="6">
        <f>G549-15</f>
        <v>475</v>
      </c>
    </row>
    <row r="553" spans="1:12">
      <c r="A553" t="s">
        <v>73</v>
      </c>
      <c r="B553">
        <v>280</v>
      </c>
      <c r="C553">
        <v>-280</v>
      </c>
      <c r="D553">
        <f>F553*2+4</f>
        <v>8</v>
      </c>
      <c r="E553" t="s">
        <v>1</v>
      </c>
      <c r="F553" s="6">
        <v>2</v>
      </c>
      <c r="G553" s="32">
        <f>B553+G499</f>
        <v>1040</v>
      </c>
      <c r="H553" s="32">
        <f>C553+H499</f>
        <v>350</v>
      </c>
      <c r="I553" s="32">
        <f>B553+I499</f>
        <v>1040</v>
      </c>
      <c r="J553" s="32">
        <f>C553+J499</f>
        <v>100</v>
      </c>
    </row>
    <row r="554" spans="1:12">
      <c r="D554">
        <f>D553</f>
        <v>8</v>
      </c>
      <c r="E554" t="str">
        <f t="shared" ref="E554:F564" si="37">E553</f>
        <v>Polylinie</v>
      </c>
      <c r="F554" s="6">
        <f t="shared" si="37"/>
        <v>2</v>
      </c>
      <c r="G554" s="32">
        <f>B553+G500</f>
        <v>1040</v>
      </c>
      <c r="H554" s="32">
        <f>C553+H500</f>
        <v>100</v>
      </c>
      <c r="I554" s="32">
        <f>B553+I500</f>
        <v>896</v>
      </c>
      <c r="J554" s="32">
        <f>C553+J500</f>
        <v>4</v>
      </c>
    </row>
    <row r="555" spans="1:12">
      <c r="D555">
        <f t="shared" ref="D555:D564" si="38">D554</f>
        <v>8</v>
      </c>
      <c r="E555" t="str">
        <f t="shared" si="37"/>
        <v>Polylinie</v>
      </c>
      <c r="F555" s="6">
        <f t="shared" si="37"/>
        <v>2</v>
      </c>
      <c r="G555" s="32">
        <f>B553+G507</f>
        <v>1040</v>
      </c>
      <c r="H555" s="32">
        <f>C553+H507</f>
        <v>350</v>
      </c>
      <c r="I555" s="32">
        <f>B553+I507</f>
        <v>896</v>
      </c>
      <c r="J555" s="32">
        <f>C553+J507</f>
        <v>254</v>
      </c>
    </row>
    <row r="556" spans="1:12">
      <c r="D556">
        <f t="shared" si="38"/>
        <v>8</v>
      </c>
      <c r="E556" t="str">
        <f t="shared" si="37"/>
        <v>Polylinie</v>
      </c>
      <c r="F556" s="6">
        <f t="shared" si="37"/>
        <v>2</v>
      </c>
      <c r="G556" s="32">
        <f>B553+G508</f>
        <v>896</v>
      </c>
      <c r="H556" s="32">
        <f>C553+H508</f>
        <v>254</v>
      </c>
      <c r="I556" s="32">
        <f>B553+I508</f>
        <v>896</v>
      </c>
      <c r="J556" s="32">
        <f>C553+J508</f>
        <v>4</v>
      </c>
    </row>
    <row r="557" spans="1:12">
      <c r="D557">
        <f t="shared" si="38"/>
        <v>8</v>
      </c>
      <c r="E557" t="str">
        <f t="shared" si="37"/>
        <v>Polylinie</v>
      </c>
      <c r="F557" s="6">
        <f t="shared" si="37"/>
        <v>2</v>
      </c>
      <c r="G557" s="32">
        <f>B553+G513</f>
        <v>947</v>
      </c>
      <c r="H557" s="32">
        <f>C553+H513</f>
        <v>313</v>
      </c>
      <c r="I557" s="32">
        <f>B553+I513</f>
        <v>947</v>
      </c>
      <c r="J557" s="32">
        <f>C553+J513</f>
        <v>188</v>
      </c>
    </row>
    <row r="558" spans="1:12">
      <c r="D558">
        <f t="shared" si="38"/>
        <v>8</v>
      </c>
      <c r="E558" t="str">
        <f t="shared" si="37"/>
        <v>Polylinie</v>
      </c>
      <c r="F558" s="6">
        <f t="shared" si="37"/>
        <v>2</v>
      </c>
      <c r="G558" s="32">
        <f>B553+G514</f>
        <v>947</v>
      </c>
      <c r="H558" s="32">
        <f>C553+H514</f>
        <v>188</v>
      </c>
      <c r="I558" s="32">
        <f>B553+I514</f>
        <v>875</v>
      </c>
      <c r="J558" s="32">
        <f>C553+J514</f>
        <v>140</v>
      </c>
    </row>
    <row r="559" spans="1:12">
      <c r="D559">
        <f t="shared" si="38"/>
        <v>8</v>
      </c>
      <c r="E559" t="str">
        <f t="shared" si="37"/>
        <v>Polylinie</v>
      </c>
      <c r="F559" s="6">
        <f t="shared" si="37"/>
        <v>2</v>
      </c>
      <c r="G559" s="6">
        <f>B553+G521</f>
        <v>947</v>
      </c>
      <c r="H559" s="6">
        <f>C553+H521</f>
        <v>313</v>
      </c>
      <c r="I559" s="6">
        <f>B553+I521</f>
        <v>875</v>
      </c>
      <c r="J559" s="6">
        <f>C553+J521</f>
        <v>265</v>
      </c>
    </row>
    <row r="560" spans="1:12">
      <c r="D560">
        <f t="shared" si="38"/>
        <v>8</v>
      </c>
      <c r="E560" t="str">
        <f t="shared" si="37"/>
        <v>Polylinie</v>
      </c>
      <c r="F560" s="6">
        <f t="shared" si="37"/>
        <v>2</v>
      </c>
      <c r="G560" s="6">
        <f>B553+G522</f>
        <v>875</v>
      </c>
      <c r="H560" s="6">
        <f>C553+H522</f>
        <v>265</v>
      </c>
      <c r="I560" s="6">
        <f>B553+I522</f>
        <v>875</v>
      </c>
      <c r="J560" s="6">
        <f>C553+J522</f>
        <v>140</v>
      </c>
    </row>
    <row r="561" spans="1:12">
      <c r="D561">
        <f t="shared" si="38"/>
        <v>8</v>
      </c>
      <c r="E561" t="str">
        <f t="shared" si="37"/>
        <v>Polylinie</v>
      </c>
      <c r="F561" s="6">
        <f t="shared" si="37"/>
        <v>2</v>
      </c>
      <c r="G561" s="6">
        <f>B553+G523</f>
        <v>896</v>
      </c>
      <c r="H561" s="6">
        <f>C553+H523</f>
        <v>254</v>
      </c>
      <c r="I561" s="6">
        <f>B553+I523</f>
        <v>875</v>
      </c>
      <c r="J561" s="6">
        <f>C553+J523</f>
        <v>265</v>
      </c>
    </row>
    <row r="562" spans="1:12">
      <c r="D562">
        <f t="shared" si="38"/>
        <v>8</v>
      </c>
      <c r="E562" t="str">
        <f t="shared" si="37"/>
        <v>Polylinie</v>
      </c>
      <c r="F562" s="6">
        <f t="shared" si="37"/>
        <v>2</v>
      </c>
      <c r="G562" s="6">
        <f>B553+G525</f>
        <v>1040</v>
      </c>
      <c r="H562" s="6">
        <f>C553+H525</f>
        <v>350</v>
      </c>
      <c r="I562" s="6">
        <f>B553+I525</f>
        <v>947</v>
      </c>
      <c r="J562" s="6">
        <f>C553+J525</f>
        <v>313</v>
      </c>
    </row>
    <row r="563" spans="1:12">
      <c r="D563">
        <f t="shared" si="38"/>
        <v>8</v>
      </c>
      <c r="E563" t="str">
        <f t="shared" si="37"/>
        <v>Polylinie</v>
      </c>
      <c r="F563" s="6">
        <f t="shared" si="37"/>
        <v>2</v>
      </c>
      <c r="G563" s="6">
        <f>B553+G528</f>
        <v>1040</v>
      </c>
      <c r="H563" s="6">
        <f>C553+H528</f>
        <v>100</v>
      </c>
      <c r="I563" s="6">
        <f>B553+I528</f>
        <v>947</v>
      </c>
      <c r="J563" s="6">
        <f>C553+J528</f>
        <v>188</v>
      </c>
    </row>
    <row r="564" spans="1:12">
      <c r="D564">
        <f t="shared" si="38"/>
        <v>8</v>
      </c>
      <c r="E564" t="str">
        <f t="shared" si="37"/>
        <v>Polylinie</v>
      </c>
      <c r="F564" s="6">
        <f t="shared" si="37"/>
        <v>2</v>
      </c>
      <c r="G564" s="6">
        <f>B553+G529</f>
        <v>896</v>
      </c>
      <c r="H564" s="6">
        <f>C553+H529</f>
        <v>4</v>
      </c>
      <c r="I564" s="6">
        <f>B553+I529</f>
        <v>875</v>
      </c>
      <c r="J564" s="6">
        <f>C553+J529</f>
        <v>140</v>
      </c>
    </row>
    <row r="565" spans="1:12">
      <c r="A565">
        <f>G553</f>
        <v>1040</v>
      </c>
      <c r="B565">
        <f>H553</f>
        <v>350</v>
      </c>
      <c r="C565">
        <v>20</v>
      </c>
      <c r="D565">
        <f>F565*2+4</f>
        <v>10</v>
      </c>
      <c r="E565" t="s">
        <v>4</v>
      </c>
      <c r="F565" s="6">
        <v>3</v>
      </c>
      <c r="G565" s="6">
        <f>I553</f>
        <v>1040</v>
      </c>
      <c r="H565" s="6">
        <f>J553</f>
        <v>100</v>
      </c>
      <c r="I565" s="6">
        <f>INT(G565-C565*COS(IF(G565-A565=0,IF(H565&gt;B565,PI()/2,-PI()/2),IF(G565-A565&lt;0,PI(),0)+ATAN((H565-B565)/(G565-A565)))-ATAN(0.5)))</f>
        <v>1048</v>
      </c>
      <c r="J565" s="6">
        <f>INT(H565-C565*SIN(IF(G565-A565=0,IF(H565&gt;B565,PI()/2,-PI()/2),IF(G565-A565&lt;0,PI(),0)+ATAN((H565-B565)/(G565-A565)))-ATAN(0.5)))</f>
        <v>117</v>
      </c>
      <c r="K565" s="6">
        <f>INT(G565-C565*COS(IF(G565-A565=0,IF(H565&gt;B565,PI()/2,-PI()/2),IF(G565-A565&lt;0,PI(),0)+ATAN((H565-B565)/(G565-A565)))+ATAN(0.5)))</f>
        <v>1031</v>
      </c>
      <c r="L565" s="6">
        <f>INT(H565-C565*SIN(IF(G565-A565=0,IF(H565&gt;B565,PI()/2,-PI()/2),IF(G565-A565&lt;0,PI(),0)+ATAN((H565-B565)/(G565-A565)))+ATAN(0.5)))</f>
        <v>117</v>
      </c>
    </row>
    <row r="566" spans="1:12">
      <c r="A566">
        <f>G555</f>
        <v>1040</v>
      </c>
      <c r="B566">
        <f>H555</f>
        <v>350</v>
      </c>
      <c r="C566">
        <v>20</v>
      </c>
      <c r="D566">
        <f>F566*2+4</f>
        <v>10</v>
      </c>
      <c r="E566" t="s">
        <v>4</v>
      </c>
      <c r="F566" s="6">
        <v>3</v>
      </c>
      <c r="G566" s="6">
        <f>I555</f>
        <v>896</v>
      </c>
      <c r="H566" s="6">
        <f>J555</f>
        <v>254</v>
      </c>
      <c r="I566" s="6">
        <f>INT(G566-C566*COS(IF(G566-A566=0,IF(H566&gt;B566,PI()/2,-PI()/2),IF(G566-A566&lt;0,PI(),0)+ATAN((H566-B566)/(G566-A566)))-ATAN(0.5)))</f>
        <v>915</v>
      </c>
      <c r="J566" s="6">
        <f>INT(H566-C566*SIN(IF(G566-A566=0,IF(H566&gt;B566,PI()/2,-PI()/2),IF(G566-A566&lt;0,PI(),0)+ATAN((H566-B566)/(G566-A566)))-ATAN(0.5)))</f>
        <v>256</v>
      </c>
      <c r="K566" s="6">
        <f>INT(G566-C566*COS(IF(G566-A566=0,IF(H566&gt;B566,PI()/2,-PI()/2),IF(G566-A566&lt;0,PI(),0)+ATAN((H566-B566)/(G566-A566)))+ATAN(0.5)))</f>
        <v>905</v>
      </c>
      <c r="L566" s="6">
        <f>INT(H566-C566*SIN(IF(G566-A566=0,IF(H566&gt;B566,PI()/2,-PI()/2),IF(G566-A566&lt;0,PI(),0)+ATAN((H566-B566)/(G566-A566)))+ATAN(0.5)))</f>
        <v>271</v>
      </c>
    </row>
    <row r="567" spans="1:12">
      <c r="A567">
        <f>G562</f>
        <v>1040</v>
      </c>
      <c r="B567">
        <f>H562</f>
        <v>350</v>
      </c>
      <c r="C567">
        <v>20</v>
      </c>
      <c r="D567">
        <f>F567*2+4</f>
        <v>10</v>
      </c>
      <c r="E567" t="s">
        <v>4</v>
      </c>
      <c r="F567" s="6">
        <v>3</v>
      </c>
      <c r="G567" s="6">
        <f>I562</f>
        <v>947</v>
      </c>
      <c r="H567" s="6">
        <f>J562</f>
        <v>313</v>
      </c>
      <c r="I567" s="6">
        <f>INT(G567-C567*COS(IF(G567-A567=0,IF(H567&gt;B567,PI()/2,-PI()/2),IF(G567-A567&lt;0,PI(),0)+ATAN((H567-B567)/(G567-A567)))-ATAN(0.5)))</f>
        <v>966</v>
      </c>
      <c r="J567" s="6">
        <f>INT(H567-C567*SIN(IF(G567-A567=0,IF(H567&gt;B567,PI()/2,-PI()/2),IF(G567-A567&lt;0,PI(),0)+ATAN((H567-B567)/(G567-A567)))-ATAN(0.5)))</f>
        <v>311</v>
      </c>
      <c r="K567" s="6">
        <f>INT(G567-C567*COS(IF(G567-A567=0,IF(H567&gt;B567,PI()/2,-PI()/2),IF(G567-A567&lt;0,PI(),0)+ATAN((H567-B567)/(G567-A567)))+ATAN(0.5)))</f>
        <v>960</v>
      </c>
      <c r="L567" s="6">
        <f>INT(H567-C567*SIN(IF(G567-A567=0,IF(H567&gt;B567,PI()/2,-PI()/2),IF(G567-A567&lt;0,PI(),0)+ATAN((H567-B567)/(G567-A567)))+ATAN(0.5)))</f>
        <v>327</v>
      </c>
    </row>
    <row r="568" spans="1:12">
      <c r="D568">
        <f>ROUNDUP(6+F568/2,0)</f>
        <v>7</v>
      </c>
      <c r="E568" t="s">
        <v>6</v>
      </c>
      <c r="F568" s="6">
        <f>LEN(G568)</f>
        <v>1</v>
      </c>
      <c r="G568" s="6" t="s">
        <v>42</v>
      </c>
      <c r="H568" s="6">
        <f>H565-30</f>
        <v>70</v>
      </c>
      <c r="I568" s="6">
        <f>G565-15</f>
        <v>1025</v>
      </c>
    </row>
    <row r="569" spans="1:12">
      <c r="D569">
        <f>ROUNDUP(6+F569/2,0)</f>
        <v>7</v>
      </c>
      <c r="E569" t="s">
        <v>6</v>
      </c>
      <c r="F569" s="6">
        <f>LEN(G569)</f>
        <v>1</v>
      </c>
      <c r="G569" s="6" t="s">
        <v>22</v>
      </c>
      <c r="H569" s="6">
        <f>H566-35</f>
        <v>219</v>
      </c>
      <c r="I569" s="6">
        <f>G566-15</f>
        <v>881</v>
      </c>
    </row>
    <row r="570" spans="1:12">
      <c r="D570">
        <f>ROUNDUP(6+F570/2,0)</f>
        <v>8</v>
      </c>
      <c r="E570" t="s">
        <v>6</v>
      </c>
      <c r="F570" s="6">
        <f>LEN(G570)</f>
        <v>3</v>
      </c>
      <c r="G570" s="32" t="s">
        <v>80</v>
      </c>
      <c r="H570" s="6">
        <f>H567-35</f>
        <v>278</v>
      </c>
      <c r="I570" s="6">
        <f>G567-15</f>
        <v>932</v>
      </c>
    </row>
    <row r="571" spans="1:12">
      <c r="A571" t="s">
        <v>74</v>
      </c>
      <c r="B571">
        <v>400</v>
      </c>
      <c r="C571">
        <v>-100</v>
      </c>
      <c r="D571">
        <f>F571*2+4</f>
        <v>8</v>
      </c>
      <c r="E571" t="s">
        <v>1</v>
      </c>
      <c r="F571" s="6">
        <v>2</v>
      </c>
      <c r="G571" s="6">
        <f>B571+G491</f>
        <v>950</v>
      </c>
      <c r="H571" s="6">
        <f>C571+H491</f>
        <v>600</v>
      </c>
      <c r="I571" s="6">
        <f>B571+I491</f>
        <v>1160</v>
      </c>
      <c r="J571" s="6">
        <f>C571+J491</f>
        <v>530</v>
      </c>
    </row>
    <row r="572" spans="1:12">
      <c r="D572">
        <f>D571</f>
        <v>8</v>
      </c>
      <c r="E572" t="str">
        <f t="shared" ref="E572:F582" si="39">E571</f>
        <v>Polylinie</v>
      </c>
      <c r="F572" s="6">
        <f t="shared" si="39"/>
        <v>2</v>
      </c>
      <c r="G572" s="6">
        <f>B571+G493</f>
        <v>950</v>
      </c>
      <c r="H572" s="6">
        <f>C571+H493</f>
        <v>600</v>
      </c>
      <c r="I572" s="6">
        <f>B571+I493</f>
        <v>806</v>
      </c>
      <c r="J572" s="6">
        <f>C571+J493</f>
        <v>504</v>
      </c>
    </row>
    <row r="573" spans="1:12">
      <c r="D573">
        <f t="shared" ref="D573:D582" si="40">D572</f>
        <v>8</v>
      </c>
      <c r="E573" t="str">
        <f t="shared" si="39"/>
        <v>Polylinie</v>
      </c>
      <c r="F573" s="6">
        <f t="shared" si="39"/>
        <v>2</v>
      </c>
      <c r="G573" s="6">
        <f>B571+G494</f>
        <v>950</v>
      </c>
      <c r="H573" s="6">
        <f>C571+H494</f>
        <v>600</v>
      </c>
      <c r="I573" s="6">
        <f>B571+I494</f>
        <v>962</v>
      </c>
      <c r="J573" s="6">
        <f>C571+J494</f>
        <v>528</v>
      </c>
    </row>
    <row r="574" spans="1:12">
      <c r="D574">
        <f t="shared" si="40"/>
        <v>8</v>
      </c>
      <c r="E574" t="str">
        <f t="shared" si="39"/>
        <v>Polylinie</v>
      </c>
      <c r="F574" s="6">
        <f t="shared" si="39"/>
        <v>2</v>
      </c>
      <c r="G574" s="6">
        <f>B571+G506</f>
        <v>806</v>
      </c>
      <c r="H574" s="6">
        <f>C571+H506</f>
        <v>504</v>
      </c>
      <c r="I574" s="6">
        <f>B571+I506</f>
        <v>1016</v>
      </c>
      <c r="J574" s="6">
        <f>C571+J506</f>
        <v>434</v>
      </c>
    </row>
    <row r="575" spans="1:12">
      <c r="D575">
        <f t="shared" si="40"/>
        <v>8</v>
      </c>
      <c r="E575" t="str">
        <f t="shared" si="39"/>
        <v>Polylinie</v>
      </c>
      <c r="F575" s="6">
        <f t="shared" si="39"/>
        <v>2</v>
      </c>
      <c r="G575" s="6">
        <f>B571+G507</f>
        <v>1160</v>
      </c>
      <c r="H575" s="6">
        <f>C571+H507</f>
        <v>530</v>
      </c>
      <c r="I575" s="6">
        <f>B571+I507</f>
        <v>1016</v>
      </c>
      <c r="J575" s="6">
        <f>C571+J507</f>
        <v>434</v>
      </c>
    </row>
    <row r="576" spans="1:12">
      <c r="D576">
        <f t="shared" si="40"/>
        <v>8</v>
      </c>
      <c r="E576" t="str">
        <f t="shared" si="39"/>
        <v>Polylinie</v>
      </c>
      <c r="F576" s="6">
        <f t="shared" si="39"/>
        <v>2</v>
      </c>
      <c r="G576" s="6">
        <f>B571+G510</f>
        <v>962</v>
      </c>
      <c r="H576" s="6">
        <f>C571+H510</f>
        <v>528</v>
      </c>
      <c r="I576" s="6">
        <f>B571+I510</f>
        <v>1067</v>
      </c>
      <c r="J576" s="6">
        <f>C571+J510</f>
        <v>493</v>
      </c>
    </row>
    <row r="577" spans="1:12">
      <c r="D577">
        <f t="shared" si="40"/>
        <v>8</v>
      </c>
      <c r="E577" t="str">
        <f t="shared" si="39"/>
        <v>Polylinie</v>
      </c>
      <c r="F577" s="6">
        <f t="shared" si="39"/>
        <v>2</v>
      </c>
      <c r="G577" s="6">
        <f>B571+G512</f>
        <v>962</v>
      </c>
      <c r="H577" s="6">
        <f>C571+H512</f>
        <v>528</v>
      </c>
      <c r="I577" s="6">
        <f>B571+I512</f>
        <v>890</v>
      </c>
      <c r="J577" s="6">
        <f>C571+J512</f>
        <v>480</v>
      </c>
    </row>
    <row r="578" spans="1:12">
      <c r="D578">
        <f t="shared" si="40"/>
        <v>8</v>
      </c>
      <c r="E578" t="str">
        <f t="shared" si="39"/>
        <v>Polylinie</v>
      </c>
      <c r="F578" s="6">
        <f t="shared" si="39"/>
        <v>2</v>
      </c>
      <c r="G578" s="6">
        <f>B571+G520</f>
        <v>890</v>
      </c>
      <c r="H578" s="6">
        <f>C571+H520</f>
        <v>480</v>
      </c>
      <c r="I578" s="6">
        <f>B571+I520</f>
        <v>995</v>
      </c>
      <c r="J578" s="6">
        <f>C571+J520</f>
        <v>445</v>
      </c>
    </row>
    <row r="579" spans="1:12">
      <c r="D579">
        <f t="shared" si="40"/>
        <v>8</v>
      </c>
      <c r="E579" t="str">
        <f t="shared" si="39"/>
        <v>Polylinie</v>
      </c>
      <c r="F579" s="6">
        <f t="shared" si="39"/>
        <v>2</v>
      </c>
      <c r="G579" s="6">
        <f>B571+G521</f>
        <v>1067</v>
      </c>
      <c r="H579" s="6">
        <f>C571+H521</f>
        <v>493</v>
      </c>
      <c r="I579" s="6">
        <f>B571+I521</f>
        <v>995</v>
      </c>
      <c r="J579" s="6">
        <f>C571+J521</f>
        <v>445</v>
      </c>
    </row>
    <row r="580" spans="1:12">
      <c r="D580">
        <f t="shared" si="40"/>
        <v>8</v>
      </c>
      <c r="E580" t="str">
        <f t="shared" si="39"/>
        <v>Polylinie</v>
      </c>
      <c r="F580" s="6">
        <f t="shared" si="39"/>
        <v>2</v>
      </c>
      <c r="G580" s="6">
        <f>B571+G523</f>
        <v>1016</v>
      </c>
      <c r="H580" s="6">
        <f>C571+H523</f>
        <v>434</v>
      </c>
      <c r="I580" s="6">
        <f>B571+I523</f>
        <v>995</v>
      </c>
      <c r="J580" s="6">
        <f>C571+J523</f>
        <v>445</v>
      </c>
    </row>
    <row r="581" spans="1:12">
      <c r="D581">
        <f t="shared" si="40"/>
        <v>8</v>
      </c>
      <c r="E581" t="str">
        <f t="shared" si="39"/>
        <v>Polylinie</v>
      </c>
      <c r="F581" s="6">
        <f t="shared" si="39"/>
        <v>2</v>
      </c>
      <c r="G581" s="6">
        <f>B571+G525</f>
        <v>1160</v>
      </c>
      <c r="H581" s="6">
        <f>C571+H525</f>
        <v>530</v>
      </c>
      <c r="I581" s="6">
        <f>B571+I525</f>
        <v>1067</v>
      </c>
      <c r="J581" s="6">
        <f>C571+J525</f>
        <v>493</v>
      </c>
    </row>
    <row r="582" spans="1:12">
      <c r="D582">
        <f t="shared" si="40"/>
        <v>8</v>
      </c>
      <c r="E582" t="str">
        <f t="shared" si="39"/>
        <v>Polylinie</v>
      </c>
      <c r="F582" s="6">
        <f t="shared" si="39"/>
        <v>2</v>
      </c>
      <c r="G582" s="6">
        <f>B571+G526</f>
        <v>806</v>
      </c>
      <c r="H582" s="6">
        <f>C571+H526</f>
        <v>504</v>
      </c>
      <c r="I582" s="6">
        <f>B571+I526</f>
        <v>890</v>
      </c>
      <c r="J582" s="6">
        <f>C571+J526</f>
        <v>480</v>
      </c>
    </row>
    <row r="583" spans="1:12">
      <c r="A583">
        <f t="shared" ref="A583:B585" si="41">G571</f>
        <v>950</v>
      </c>
      <c r="B583">
        <f t="shared" si="41"/>
        <v>600</v>
      </c>
      <c r="C583">
        <v>20</v>
      </c>
      <c r="D583">
        <f>F583*2+4</f>
        <v>10</v>
      </c>
      <c r="E583" t="s">
        <v>4</v>
      </c>
      <c r="F583" s="6">
        <v>3</v>
      </c>
      <c r="G583" s="6">
        <f t="shared" ref="G583:H585" si="42">I571</f>
        <v>1160</v>
      </c>
      <c r="H583" s="6">
        <f t="shared" si="42"/>
        <v>530</v>
      </c>
      <c r="I583" s="6">
        <f>INT(G583-C583*COS(IF(G583-A583=0,IF(H583&gt;B583,PI()/2,-PI()/2),IF(G583-A583&lt;0,PI(),0)+ATAN((H583-B583)/(G583-A583)))-ATAN(0.5)))</f>
        <v>1145</v>
      </c>
      <c r="J583" s="6">
        <f>INT(H583-C583*SIN(IF(G583-A583=0,IF(H583&gt;B583,PI()/2,-PI()/2),IF(G583-A583&lt;0,PI(),0)+ATAN((H583-B583)/(G583-A583)))-ATAN(0.5)))</f>
        <v>544</v>
      </c>
      <c r="K583" s="6">
        <f>INT(G583-C583*COS(IF(G583-A583=0,IF(H583&gt;B583,PI()/2,-PI()/2),IF(G583-A583&lt;0,PI(),0)+ATAN((H583-B583)/(G583-A583)))+ATAN(0.5)))</f>
        <v>1140</v>
      </c>
      <c r="L583" s="6">
        <f>INT(H583-C583*SIN(IF(G583-A583=0,IF(H583&gt;B583,PI()/2,-PI()/2),IF(G583-A583&lt;0,PI(),0)+ATAN((H583-B583)/(G583-A583)))+ATAN(0.5)))</f>
        <v>527</v>
      </c>
    </row>
    <row r="584" spans="1:12">
      <c r="A584">
        <f t="shared" si="41"/>
        <v>950</v>
      </c>
      <c r="B584">
        <f t="shared" si="41"/>
        <v>600</v>
      </c>
      <c r="C584">
        <v>20</v>
      </c>
      <c r="D584">
        <f>F584*2+4</f>
        <v>10</v>
      </c>
      <c r="E584" t="s">
        <v>4</v>
      </c>
      <c r="F584" s="6">
        <v>3</v>
      </c>
      <c r="G584" s="6">
        <f t="shared" si="42"/>
        <v>806</v>
      </c>
      <c r="H584" s="6">
        <f t="shared" si="42"/>
        <v>504</v>
      </c>
      <c r="I584" s="6">
        <f>INT(G584-C584*COS(IF(G584-A584=0,IF(H584&gt;B584,PI()/2,-PI()/2),IF(G584-A584&lt;0,PI(),0)+ATAN((H584-B584)/(G584-A584)))-ATAN(0.5)))</f>
        <v>825</v>
      </c>
      <c r="J584" s="6">
        <f>INT(H584-C584*SIN(IF(G584-A584=0,IF(H584&gt;B584,PI()/2,-PI()/2),IF(G584-A584&lt;0,PI(),0)+ATAN((H584-B584)/(G584-A584)))-ATAN(0.5)))</f>
        <v>506</v>
      </c>
      <c r="K584" s="6">
        <f>INT(G584-C584*COS(IF(G584-A584=0,IF(H584&gt;B584,PI()/2,-PI()/2),IF(G584-A584&lt;0,PI(),0)+ATAN((H584-B584)/(G584-A584)))+ATAN(0.5)))</f>
        <v>815</v>
      </c>
      <c r="L584" s="6">
        <f>INT(H584-C584*SIN(IF(G584-A584=0,IF(H584&gt;B584,PI()/2,-PI()/2),IF(G584-A584&lt;0,PI(),0)+ATAN((H584-B584)/(G584-A584)))+ATAN(0.5)))</f>
        <v>521</v>
      </c>
    </row>
    <row r="585" spans="1:12">
      <c r="A585">
        <f t="shared" si="41"/>
        <v>950</v>
      </c>
      <c r="B585">
        <f t="shared" si="41"/>
        <v>600</v>
      </c>
      <c r="C585">
        <v>20</v>
      </c>
      <c r="D585">
        <f>F585*2+4</f>
        <v>10</v>
      </c>
      <c r="E585" t="s">
        <v>4</v>
      </c>
      <c r="F585" s="6">
        <v>3</v>
      </c>
      <c r="G585" s="6">
        <f t="shared" si="42"/>
        <v>962</v>
      </c>
      <c r="H585" s="6">
        <f t="shared" si="42"/>
        <v>528</v>
      </c>
      <c r="I585" s="6">
        <f>INT(G585-C585*COS(IF(G585-A585=0,IF(H585&gt;B585,PI()/2,-PI()/2),IF(G585-A585&lt;0,PI(),0)+ATAN((H585-B585)/(G585-A585)))-ATAN(0.5)))</f>
        <v>967</v>
      </c>
      <c r="J585" s="6">
        <f>INT(H585-C585*SIN(IF(G585-A585=0,IF(H585&gt;B585,PI()/2,-PI()/2),IF(G585-A585&lt;0,PI(),0)+ATAN((H585-B585)/(G585-A585)))-ATAN(0.5)))</f>
        <v>547</v>
      </c>
      <c r="K585" s="6">
        <f>INT(G585-C585*COS(IF(G585-A585=0,IF(H585&gt;B585,PI()/2,-PI()/2),IF(G585-A585&lt;0,PI(),0)+ATAN((H585-B585)/(G585-A585)))+ATAN(0.5)))</f>
        <v>950</v>
      </c>
      <c r="L585" s="6">
        <f>INT(H585-C585*SIN(IF(G585-A585=0,IF(H585&gt;B585,PI()/2,-PI()/2),IF(G585-A585&lt;0,PI(),0)+ATAN((H585-B585)/(G585-A585)))+ATAN(0.5)))</f>
        <v>544</v>
      </c>
    </row>
    <row r="586" spans="1:12">
      <c r="D586">
        <f>ROUNDUP(6+F586/2,0)</f>
        <v>7</v>
      </c>
      <c r="E586" t="s">
        <v>6</v>
      </c>
      <c r="F586" s="6">
        <f>LEN(G586)</f>
        <v>1</v>
      </c>
      <c r="G586" s="6" t="s">
        <v>43</v>
      </c>
      <c r="H586" s="6">
        <f>H583-20</f>
        <v>510</v>
      </c>
      <c r="I586" s="6">
        <f>G583+5</f>
        <v>1165</v>
      </c>
    </row>
    <row r="587" spans="1:12">
      <c r="D587">
        <f>ROUNDUP(6+F587/2,0)</f>
        <v>7</v>
      </c>
      <c r="E587" t="s">
        <v>6</v>
      </c>
      <c r="F587" s="6">
        <f>LEN(G587)</f>
        <v>1</v>
      </c>
      <c r="G587" s="6" t="s">
        <v>22</v>
      </c>
      <c r="H587" s="6">
        <f>H584-30</f>
        <v>474</v>
      </c>
      <c r="I587" s="6">
        <f>G584-15</f>
        <v>791</v>
      </c>
    </row>
    <row r="588" spans="1:12">
      <c r="D588">
        <f>ROUNDUP(6+F588/2,0)</f>
        <v>8</v>
      </c>
      <c r="E588" t="s">
        <v>6</v>
      </c>
      <c r="F588" s="6">
        <f>LEN(G588)</f>
        <v>3</v>
      </c>
      <c r="G588" s="32" t="s">
        <v>80</v>
      </c>
      <c r="H588" s="6">
        <f>H585-35</f>
        <v>493</v>
      </c>
      <c r="I588" s="6">
        <f>G585-15</f>
        <v>947</v>
      </c>
    </row>
    <row r="589" spans="1:12">
      <c r="A589" t="s">
        <v>75</v>
      </c>
      <c r="B589">
        <v>280</v>
      </c>
      <c r="C589">
        <v>280</v>
      </c>
      <c r="D589">
        <f>F589*2+4</f>
        <v>8</v>
      </c>
      <c r="E589" t="s">
        <v>1</v>
      </c>
      <c r="F589" s="6">
        <v>2</v>
      </c>
      <c r="G589" s="6">
        <f>B589+G491</f>
        <v>830</v>
      </c>
      <c r="H589" s="6">
        <f>C589+H491</f>
        <v>980</v>
      </c>
      <c r="I589" s="6">
        <f>B589+I491</f>
        <v>1040</v>
      </c>
      <c r="J589" s="6">
        <f>C589+J491</f>
        <v>910</v>
      </c>
    </row>
    <row r="590" spans="1:12">
      <c r="D590">
        <f>D589</f>
        <v>8</v>
      </c>
      <c r="E590" t="str">
        <f t="shared" ref="E590:F600" si="43">E589</f>
        <v>Polylinie</v>
      </c>
      <c r="F590" s="6">
        <f t="shared" si="43"/>
        <v>2</v>
      </c>
      <c r="G590" s="6">
        <f>B589+G492</f>
        <v>830</v>
      </c>
      <c r="H590" s="6">
        <f>C589+H492</f>
        <v>980</v>
      </c>
      <c r="I590" s="6">
        <f>B589+I492</f>
        <v>830</v>
      </c>
      <c r="J590" s="6">
        <f>C589+J492</f>
        <v>730</v>
      </c>
    </row>
    <row r="591" spans="1:12">
      <c r="D591">
        <f t="shared" ref="D591:D600" si="44">D590</f>
        <v>8</v>
      </c>
      <c r="E591" t="str">
        <f t="shared" si="43"/>
        <v>Polylinie</v>
      </c>
      <c r="F591" s="6">
        <f t="shared" si="43"/>
        <v>2</v>
      </c>
      <c r="G591" s="6">
        <f>B589+G494</f>
        <v>830</v>
      </c>
      <c r="H591" s="6">
        <f>C589+H494</f>
        <v>980</v>
      </c>
      <c r="I591" s="6">
        <f>B589+I494</f>
        <v>842</v>
      </c>
      <c r="J591" s="6">
        <f>C589+J494</f>
        <v>908</v>
      </c>
    </row>
    <row r="592" spans="1:12">
      <c r="D592">
        <f t="shared" si="44"/>
        <v>8</v>
      </c>
      <c r="E592" t="str">
        <f t="shared" si="43"/>
        <v>Polylinie</v>
      </c>
      <c r="F592" s="6">
        <f t="shared" si="43"/>
        <v>2</v>
      </c>
      <c r="G592" s="6">
        <f>B589+G499</f>
        <v>1040</v>
      </c>
      <c r="H592" s="6">
        <f>C589+H499</f>
        <v>910</v>
      </c>
      <c r="I592" s="6">
        <f>B589+I499</f>
        <v>1040</v>
      </c>
      <c r="J592" s="6">
        <f>C589+J499</f>
        <v>660</v>
      </c>
    </row>
    <row r="593" spans="1:12">
      <c r="D593">
        <f t="shared" si="44"/>
        <v>8</v>
      </c>
      <c r="E593" t="str">
        <f t="shared" si="43"/>
        <v>Polylinie</v>
      </c>
      <c r="F593" s="6">
        <f t="shared" si="43"/>
        <v>2</v>
      </c>
      <c r="G593" s="6">
        <f>B589+G503</f>
        <v>830</v>
      </c>
      <c r="H593" s="6">
        <f>C589+H503</f>
        <v>730</v>
      </c>
      <c r="I593" s="6">
        <f>B589+I503</f>
        <v>1040</v>
      </c>
      <c r="J593" s="6">
        <f>C589+J503</f>
        <v>660</v>
      </c>
    </row>
    <row r="594" spans="1:12">
      <c r="D594">
        <f t="shared" si="44"/>
        <v>8</v>
      </c>
      <c r="E594" t="str">
        <f t="shared" si="43"/>
        <v>Polylinie</v>
      </c>
      <c r="F594" s="6">
        <f t="shared" si="43"/>
        <v>2</v>
      </c>
      <c r="G594" s="6">
        <f>B589+G510</f>
        <v>842</v>
      </c>
      <c r="H594" s="6">
        <f>C589+H510</f>
        <v>908</v>
      </c>
      <c r="I594" s="6">
        <f>B589+I510</f>
        <v>947</v>
      </c>
      <c r="J594" s="6">
        <f>C589+J510</f>
        <v>873</v>
      </c>
    </row>
    <row r="595" spans="1:12">
      <c r="D595">
        <f t="shared" si="44"/>
        <v>8</v>
      </c>
      <c r="E595" t="str">
        <f t="shared" si="43"/>
        <v>Polylinie</v>
      </c>
      <c r="F595" s="6">
        <f t="shared" si="43"/>
        <v>2</v>
      </c>
      <c r="G595" s="6">
        <f>B589+G511</f>
        <v>842</v>
      </c>
      <c r="H595" s="6">
        <f>C589+H511</f>
        <v>908</v>
      </c>
      <c r="I595" s="6">
        <f>B589+I511</f>
        <v>842</v>
      </c>
      <c r="J595" s="6">
        <f>C589+J511</f>
        <v>783</v>
      </c>
    </row>
    <row r="596" spans="1:12">
      <c r="D596">
        <f t="shared" si="44"/>
        <v>8</v>
      </c>
      <c r="E596" t="str">
        <f t="shared" si="43"/>
        <v>Polylinie</v>
      </c>
      <c r="F596" s="6">
        <f t="shared" si="43"/>
        <v>2</v>
      </c>
      <c r="G596" s="6">
        <f>B589+G513</f>
        <v>947</v>
      </c>
      <c r="H596" s="6">
        <f>C589+H513</f>
        <v>873</v>
      </c>
      <c r="I596" s="6">
        <f>B589+I513</f>
        <v>947</v>
      </c>
      <c r="J596" s="6">
        <f>C589+J513</f>
        <v>748</v>
      </c>
    </row>
    <row r="597" spans="1:12">
      <c r="D597">
        <f t="shared" si="44"/>
        <v>8</v>
      </c>
      <c r="E597" t="str">
        <f t="shared" si="43"/>
        <v>Polylinie</v>
      </c>
      <c r="F597" s="6">
        <f t="shared" si="43"/>
        <v>2</v>
      </c>
      <c r="G597" s="6">
        <f>B589+G517</f>
        <v>842</v>
      </c>
      <c r="H597" s="6">
        <f>C589+H517</f>
        <v>783</v>
      </c>
      <c r="I597" s="6">
        <f>B589+I517</f>
        <v>947</v>
      </c>
      <c r="J597" s="6">
        <f>C589+J517</f>
        <v>748</v>
      </c>
    </row>
    <row r="598" spans="1:12">
      <c r="D598">
        <f t="shared" si="44"/>
        <v>8</v>
      </c>
      <c r="E598" t="str">
        <f t="shared" si="43"/>
        <v>Polylinie</v>
      </c>
      <c r="F598" s="6">
        <f t="shared" si="43"/>
        <v>2</v>
      </c>
      <c r="G598" s="6">
        <f>B589+G525</f>
        <v>1040</v>
      </c>
      <c r="H598" s="6">
        <f>C589+H525</f>
        <v>910</v>
      </c>
      <c r="I598" s="6">
        <f>B589+I525</f>
        <v>947</v>
      </c>
      <c r="J598" s="6">
        <f>C589+J525</f>
        <v>873</v>
      </c>
    </row>
    <row r="599" spans="1:12">
      <c r="D599">
        <f t="shared" si="44"/>
        <v>8</v>
      </c>
      <c r="E599" t="str">
        <f t="shared" si="43"/>
        <v>Polylinie</v>
      </c>
      <c r="F599" s="6">
        <f t="shared" si="43"/>
        <v>2</v>
      </c>
      <c r="G599" s="6">
        <f>B589+G527</f>
        <v>830</v>
      </c>
      <c r="H599" s="6">
        <f>C589+H527</f>
        <v>730</v>
      </c>
      <c r="I599" s="6">
        <f>B589+I527</f>
        <v>842</v>
      </c>
      <c r="J599" s="6">
        <f>C589+J527</f>
        <v>783</v>
      </c>
    </row>
    <row r="600" spans="1:12">
      <c r="D600">
        <f t="shared" si="44"/>
        <v>8</v>
      </c>
      <c r="E600" t="str">
        <f t="shared" si="43"/>
        <v>Polylinie</v>
      </c>
      <c r="F600" s="6">
        <f t="shared" si="43"/>
        <v>2</v>
      </c>
      <c r="G600" s="6">
        <f>B589+G528</f>
        <v>1040</v>
      </c>
      <c r="H600" s="6">
        <f>C589+H528</f>
        <v>660</v>
      </c>
      <c r="I600" s="6">
        <f>B589+I528</f>
        <v>947</v>
      </c>
      <c r="J600" s="6">
        <f>C589+J528</f>
        <v>748</v>
      </c>
    </row>
    <row r="601" spans="1:12">
      <c r="A601">
        <f t="shared" ref="A601:B603" si="45">G589</f>
        <v>830</v>
      </c>
      <c r="B601">
        <f t="shared" si="45"/>
        <v>980</v>
      </c>
      <c r="C601">
        <v>20</v>
      </c>
      <c r="D601">
        <f>F601*2+4</f>
        <v>10</v>
      </c>
      <c r="E601" t="s">
        <v>4</v>
      </c>
      <c r="F601" s="6">
        <v>3</v>
      </c>
      <c r="G601" s="6">
        <f t="shared" ref="G601:H603" si="46">I589</f>
        <v>1040</v>
      </c>
      <c r="H601" s="6">
        <f t="shared" si="46"/>
        <v>910</v>
      </c>
      <c r="I601" s="6">
        <f>INT(G601-C601*COS(IF(G601-A601=0,IF(H601&gt;B601,PI()/2,-PI()/2),IF(G601-A601&lt;0,PI(),0)+ATAN((H601-B601)/(G601-A601)))-ATAN(0.5)))</f>
        <v>1025</v>
      </c>
      <c r="J601" s="6">
        <f>INT(H601-C601*SIN(IF(G601-A601=0,IF(H601&gt;B601,PI()/2,-PI()/2),IF(G601-A601&lt;0,PI(),0)+ATAN((H601-B601)/(G601-A601)))-ATAN(0.5)))</f>
        <v>924</v>
      </c>
      <c r="K601" s="6">
        <f>INT(G601-C601*COS(IF(G601-A601=0,IF(H601&gt;B601,PI()/2,-PI()/2),IF(G601-A601&lt;0,PI(),0)+ATAN((H601-B601)/(G601-A601)))+ATAN(0.5)))</f>
        <v>1020</v>
      </c>
      <c r="L601" s="6">
        <f>INT(H601-C601*SIN(IF(G601-A601=0,IF(H601&gt;B601,PI()/2,-PI()/2),IF(G601-A601&lt;0,PI(),0)+ATAN((H601-B601)/(G601-A601)))+ATAN(0.5)))</f>
        <v>907</v>
      </c>
    </row>
    <row r="602" spans="1:12">
      <c r="A602">
        <f t="shared" si="45"/>
        <v>830</v>
      </c>
      <c r="B602">
        <f t="shared" si="45"/>
        <v>980</v>
      </c>
      <c r="C602">
        <v>20</v>
      </c>
      <c r="D602">
        <f>F602*2+4</f>
        <v>10</v>
      </c>
      <c r="E602" t="s">
        <v>4</v>
      </c>
      <c r="F602" s="6">
        <v>3</v>
      </c>
      <c r="G602" s="6">
        <f t="shared" si="46"/>
        <v>830</v>
      </c>
      <c r="H602" s="6">
        <f t="shared" si="46"/>
        <v>730</v>
      </c>
      <c r="I602" s="6">
        <f>INT(G602-C602*COS(IF(G602-A602=0,IF(H602&gt;B602,PI()/2,-PI()/2),IF(G602-A602&lt;0,PI(),0)+ATAN((H602-B602)/(G602-A602)))-ATAN(0.5)))</f>
        <v>838</v>
      </c>
      <c r="J602" s="6">
        <f>INT(H602-C602*SIN(IF(G602-A602=0,IF(H602&gt;B602,PI()/2,-PI()/2),IF(G602-A602&lt;0,PI(),0)+ATAN((H602-B602)/(G602-A602)))-ATAN(0.5)))</f>
        <v>747</v>
      </c>
      <c r="K602" s="6">
        <f>INT(G602-C602*COS(IF(G602-A602=0,IF(H602&gt;B602,PI()/2,-PI()/2),IF(G602-A602&lt;0,PI(),0)+ATAN((H602-B602)/(G602-A602)))+ATAN(0.5)))</f>
        <v>821</v>
      </c>
      <c r="L602" s="6">
        <f>INT(H602-C602*SIN(IF(G602-A602=0,IF(H602&gt;B602,PI()/2,-PI()/2),IF(G602-A602&lt;0,PI(),0)+ATAN((H602-B602)/(G602-A602)))+ATAN(0.5)))</f>
        <v>747</v>
      </c>
    </row>
    <row r="603" spans="1:12">
      <c r="A603">
        <f t="shared" si="45"/>
        <v>830</v>
      </c>
      <c r="B603">
        <f t="shared" si="45"/>
        <v>980</v>
      </c>
      <c r="C603">
        <v>20</v>
      </c>
      <c r="D603">
        <f>F603*2+4</f>
        <v>10</v>
      </c>
      <c r="E603" t="s">
        <v>4</v>
      </c>
      <c r="F603" s="6">
        <v>3</v>
      </c>
      <c r="G603" s="6">
        <f t="shared" si="46"/>
        <v>842</v>
      </c>
      <c r="H603" s="6">
        <f t="shared" si="46"/>
        <v>908</v>
      </c>
      <c r="I603" s="6">
        <f>INT(G603-C603*COS(IF(G603-A603=0,IF(H603&gt;B603,PI()/2,-PI()/2),IF(G603-A603&lt;0,PI(),0)+ATAN((H603-B603)/(G603-A603)))-ATAN(0.5)))</f>
        <v>847</v>
      </c>
      <c r="J603" s="6">
        <f>INT(H603-C603*SIN(IF(G603-A603=0,IF(H603&gt;B603,PI()/2,-PI()/2),IF(G603-A603&lt;0,PI(),0)+ATAN((H603-B603)/(G603-A603)))-ATAN(0.5)))</f>
        <v>927</v>
      </c>
      <c r="K603" s="6">
        <f>INT(G603-C603*COS(IF(G603-A603=0,IF(H603&gt;B603,PI()/2,-PI()/2),IF(G603-A603&lt;0,PI(),0)+ATAN((H603-B603)/(G603-A603)))+ATAN(0.5)))</f>
        <v>830</v>
      </c>
      <c r="L603" s="6">
        <f>INT(H603-C603*SIN(IF(G603-A603=0,IF(H603&gt;B603,PI()/2,-PI()/2),IF(G603-A603&lt;0,PI(),0)+ATAN((H603-B603)/(G603-A603)))+ATAN(0.5)))</f>
        <v>924</v>
      </c>
    </row>
    <row r="604" spans="1:12">
      <c r="D604">
        <f>ROUNDUP(6+F604/2,0)</f>
        <v>7</v>
      </c>
      <c r="E604" t="s">
        <v>6</v>
      </c>
      <c r="F604" s="6">
        <f>LEN(G604)</f>
        <v>1</v>
      </c>
      <c r="G604" s="6" t="s">
        <v>43</v>
      </c>
      <c r="H604" s="6">
        <f>H601-20</f>
        <v>890</v>
      </c>
      <c r="I604" s="6">
        <f>G601+5</f>
        <v>1045</v>
      </c>
    </row>
    <row r="605" spans="1:12">
      <c r="D605">
        <f>ROUNDUP(6+F605/2,0)</f>
        <v>7</v>
      </c>
      <c r="E605" t="s">
        <v>6</v>
      </c>
      <c r="F605" s="6">
        <f>LEN(G605)</f>
        <v>1</v>
      </c>
      <c r="G605" s="6" t="s">
        <v>42</v>
      </c>
      <c r="H605" s="6">
        <f>H602-35</f>
        <v>695</v>
      </c>
      <c r="I605" s="6">
        <f>G602-15</f>
        <v>815</v>
      </c>
    </row>
    <row r="606" spans="1:12">
      <c r="D606">
        <f>ROUNDUP(6+F606/2,0)</f>
        <v>8</v>
      </c>
      <c r="E606" t="s">
        <v>6</v>
      </c>
      <c r="F606" s="6">
        <f>LEN(G606)</f>
        <v>3</v>
      </c>
      <c r="G606" s="32" t="s">
        <v>80</v>
      </c>
      <c r="H606" s="6">
        <f>H603-35</f>
        <v>873</v>
      </c>
      <c r="I606" s="6">
        <f>G603-15</f>
        <v>827</v>
      </c>
    </row>
    <row r="607" spans="1:12">
      <c r="A607" t="s">
        <v>76</v>
      </c>
      <c r="B607">
        <v>0</v>
      </c>
      <c r="C607">
        <v>470</v>
      </c>
      <c r="D607">
        <f>F607*2+4</f>
        <v>8</v>
      </c>
      <c r="E607" t="s">
        <v>1</v>
      </c>
      <c r="F607" s="6">
        <v>2</v>
      </c>
      <c r="G607" s="6">
        <f>B607+G491</f>
        <v>550</v>
      </c>
      <c r="H607" s="6">
        <f>C607+H491</f>
        <v>1170</v>
      </c>
      <c r="I607" s="6">
        <f>B607+I491</f>
        <v>760</v>
      </c>
      <c r="J607" s="6">
        <f>C607+J491</f>
        <v>1100</v>
      </c>
    </row>
    <row r="608" spans="1:12">
      <c r="D608">
        <f t="shared" ref="D608:F609" si="47">D607</f>
        <v>8</v>
      </c>
      <c r="E608" t="str">
        <f t="shared" si="47"/>
        <v>Polylinie</v>
      </c>
      <c r="F608" s="6">
        <f t="shared" si="47"/>
        <v>2</v>
      </c>
      <c r="G608" s="6">
        <f>B607+G492</f>
        <v>550</v>
      </c>
      <c r="H608" s="6">
        <f>C607+H492</f>
        <v>1170</v>
      </c>
      <c r="I608" s="6">
        <f>B607+I492</f>
        <v>550</v>
      </c>
      <c r="J608" s="6">
        <f>C607+J492</f>
        <v>920</v>
      </c>
    </row>
    <row r="609" spans="1:12">
      <c r="D609">
        <f t="shared" si="47"/>
        <v>8</v>
      </c>
      <c r="E609" t="str">
        <f t="shared" si="47"/>
        <v>Polylinie</v>
      </c>
      <c r="F609" s="6">
        <f t="shared" si="47"/>
        <v>2</v>
      </c>
      <c r="G609" s="6">
        <f>B607+G493</f>
        <v>550</v>
      </c>
      <c r="H609" s="6">
        <f>C607+H493</f>
        <v>1170</v>
      </c>
      <c r="I609" s="6">
        <f>B607+I493</f>
        <v>406</v>
      </c>
      <c r="J609" s="6">
        <f>C607+J493</f>
        <v>1074</v>
      </c>
    </row>
    <row r="610" spans="1:12">
      <c r="D610">
        <f>D618</f>
        <v>8</v>
      </c>
      <c r="E610" t="str">
        <f>E618</f>
        <v>Polylinie</v>
      </c>
      <c r="F610" s="6">
        <f>F618</f>
        <v>2</v>
      </c>
      <c r="G610" s="6">
        <f>B607+G499</f>
        <v>760</v>
      </c>
      <c r="H610" s="6">
        <f>C607+H499</f>
        <v>1100</v>
      </c>
      <c r="I610" s="6">
        <f>B607+I499</f>
        <v>760</v>
      </c>
      <c r="J610" s="6">
        <f>C607+J499</f>
        <v>850</v>
      </c>
    </row>
    <row r="611" spans="1:12">
      <c r="D611">
        <f t="shared" ref="D611:F617" si="48">D610</f>
        <v>8</v>
      </c>
      <c r="E611" t="str">
        <f t="shared" si="48"/>
        <v>Polylinie</v>
      </c>
      <c r="F611" s="6">
        <f t="shared" si="48"/>
        <v>2</v>
      </c>
      <c r="G611" s="6">
        <f>B607+G500</f>
        <v>760</v>
      </c>
      <c r="H611" s="6">
        <f>C607+H500</f>
        <v>850</v>
      </c>
      <c r="I611" s="6">
        <f>B607+I500</f>
        <v>616</v>
      </c>
      <c r="J611" s="6">
        <f>C607+J500</f>
        <v>754</v>
      </c>
    </row>
    <row r="612" spans="1:12">
      <c r="D612">
        <f t="shared" si="48"/>
        <v>8</v>
      </c>
      <c r="E612" t="str">
        <f t="shared" si="48"/>
        <v>Polylinie</v>
      </c>
      <c r="F612" s="6">
        <f t="shared" si="48"/>
        <v>2</v>
      </c>
      <c r="G612" s="6">
        <f>B607+G501</f>
        <v>406</v>
      </c>
      <c r="H612" s="6">
        <f>C607+H501</f>
        <v>1074</v>
      </c>
      <c r="I612" s="6">
        <f>B607+I501</f>
        <v>406</v>
      </c>
      <c r="J612" s="6">
        <f>C607+J501</f>
        <v>824</v>
      </c>
    </row>
    <row r="613" spans="1:12">
      <c r="D613">
        <f t="shared" si="48"/>
        <v>8</v>
      </c>
      <c r="E613" t="str">
        <f t="shared" si="48"/>
        <v>Polylinie</v>
      </c>
      <c r="F613" s="6">
        <f t="shared" si="48"/>
        <v>2</v>
      </c>
      <c r="G613" s="6">
        <f>B607+G502</f>
        <v>406</v>
      </c>
      <c r="H613" s="6">
        <f>C607+H502</f>
        <v>824</v>
      </c>
      <c r="I613" s="6">
        <f>B607+I502</f>
        <v>616</v>
      </c>
      <c r="J613" s="6">
        <f>C607+J502</f>
        <v>754</v>
      </c>
    </row>
    <row r="614" spans="1:12">
      <c r="D614">
        <f t="shared" si="48"/>
        <v>8</v>
      </c>
      <c r="E614" t="str">
        <f t="shared" si="48"/>
        <v>Polylinie</v>
      </c>
      <c r="F614" s="6">
        <f t="shared" si="48"/>
        <v>2</v>
      </c>
      <c r="G614" s="6">
        <f>B607+G503</f>
        <v>550</v>
      </c>
      <c r="H614" s="6">
        <f>C607+H503</f>
        <v>920</v>
      </c>
      <c r="I614" s="6">
        <f>B607+I503</f>
        <v>760</v>
      </c>
      <c r="J614" s="6">
        <f>C607+J503</f>
        <v>850</v>
      </c>
    </row>
    <row r="615" spans="1:12">
      <c r="D615">
        <f t="shared" si="48"/>
        <v>8</v>
      </c>
      <c r="E615" t="str">
        <f t="shared" si="48"/>
        <v>Polylinie</v>
      </c>
      <c r="F615" s="6">
        <f t="shared" si="48"/>
        <v>2</v>
      </c>
      <c r="G615" s="6">
        <f>B607+G504</f>
        <v>550</v>
      </c>
      <c r="H615" s="6">
        <f>C607+H504</f>
        <v>920</v>
      </c>
      <c r="I615" s="6">
        <f>B607+I504</f>
        <v>406</v>
      </c>
      <c r="J615" s="6">
        <f>C607+J504</f>
        <v>824</v>
      </c>
    </row>
    <row r="616" spans="1:12">
      <c r="D616">
        <f t="shared" si="48"/>
        <v>8</v>
      </c>
      <c r="E616" t="str">
        <f t="shared" si="48"/>
        <v>Polylinie</v>
      </c>
      <c r="F616" s="6">
        <f t="shared" si="48"/>
        <v>2</v>
      </c>
      <c r="G616" s="6">
        <f>B607+G506</f>
        <v>406</v>
      </c>
      <c r="H616" s="6">
        <f>C607+H506</f>
        <v>1074</v>
      </c>
      <c r="I616" s="6">
        <f>B607+I506</f>
        <v>616</v>
      </c>
      <c r="J616" s="6">
        <f>C607+J506</f>
        <v>1004</v>
      </c>
    </row>
    <row r="617" spans="1:12">
      <c r="D617">
        <f t="shared" si="48"/>
        <v>8</v>
      </c>
      <c r="E617" t="str">
        <f t="shared" si="48"/>
        <v>Polylinie</v>
      </c>
      <c r="F617" s="6">
        <f t="shared" si="48"/>
        <v>2</v>
      </c>
      <c r="G617" s="6">
        <f>B607+G507</f>
        <v>760</v>
      </c>
      <c r="H617" s="6">
        <f>C607+H507</f>
        <v>1100</v>
      </c>
      <c r="I617" s="6">
        <f>B607+I507</f>
        <v>616</v>
      </c>
      <c r="J617" s="6">
        <f>C607+J507</f>
        <v>1004</v>
      </c>
    </row>
    <row r="618" spans="1:12">
      <c r="D618">
        <f>D609</f>
        <v>8</v>
      </c>
      <c r="E618" t="str">
        <f>E609</f>
        <v>Polylinie</v>
      </c>
      <c r="F618" s="6">
        <f>F609</f>
        <v>2</v>
      </c>
      <c r="G618" s="6">
        <f>B607+G508</f>
        <v>616</v>
      </c>
      <c r="H618" s="6">
        <f>C607+H508</f>
        <v>1004</v>
      </c>
      <c r="I618" s="6">
        <f>B607+I508</f>
        <v>616</v>
      </c>
      <c r="J618" s="6">
        <f>C607+J508</f>
        <v>754</v>
      </c>
    </row>
    <row r="619" spans="1:12">
      <c r="A619">
        <f t="shared" ref="A619:B621" si="49">G607</f>
        <v>550</v>
      </c>
      <c r="B619">
        <f t="shared" si="49"/>
        <v>1170</v>
      </c>
      <c r="C619">
        <v>20</v>
      </c>
      <c r="D619">
        <f>F619*2+4</f>
        <v>10</v>
      </c>
      <c r="E619" t="s">
        <v>4</v>
      </c>
      <c r="F619" s="6">
        <v>3</v>
      </c>
      <c r="G619" s="6">
        <f t="shared" ref="G619:H621" si="50">I607</f>
        <v>760</v>
      </c>
      <c r="H619" s="6">
        <f t="shared" si="50"/>
        <v>1100</v>
      </c>
      <c r="I619" s="6">
        <f>INT(G619-C619*COS(IF(G619-A619=0,IF(H619&gt;B619,PI()/2,-PI()/2),IF(G619-A619&lt;0,PI(),0)+ATAN((H619-B619)/(G619-A619)))-ATAN(0.5)))</f>
        <v>745</v>
      </c>
      <c r="J619" s="6">
        <f>INT(H619-C619*SIN(IF(G619-A619=0,IF(H619&gt;B619,PI()/2,-PI()/2),IF(G619-A619&lt;0,PI(),0)+ATAN((H619-B619)/(G619-A619)))-ATAN(0.5)))</f>
        <v>1114</v>
      </c>
      <c r="K619" s="6">
        <f>INT(G619-C619*COS(IF(G619-A619=0,IF(H619&gt;B619,PI()/2,-PI()/2),IF(G619-A619&lt;0,PI(),0)+ATAN((H619-B619)/(G619-A619)))+ATAN(0.5)))</f>
        <v>740</v>
      </c>
      <c r="L619" s="6">
        <f>INT(H619-C619*SIN(IF(G619-A619=0,IF(H619&gt;B619,PI()/2,-PI()/2),IF(G619-A619&lt;0,PI(),0)+ATAN((H619-B619)/(G619-A619)))+ATAN(0.5)))</f>
        <v>1097</v>
      </c>
    </row>
    <row r="620" spans="1:12">
      <c r="A620">
        <f t="shared" si="49"/>
        <v>550</v>
      </c>
      <c r="B620">
        <f t="shared" si="49"/>
        <v>1170</v>
      </c>
      <c r="C620">
        <v>20</v>
      </c>
      <c r="D620">
        <f>F620*2+4</f>
        <v>10</v>
      </c>
      <c r="E620" t="s">
        <v>4</v>
      </c>
      <c r="F620" s="6">
        <v>3</v>
      </c>
      <c r="G620" s="6">
        <f t="shared" si="50"/>
        <v>550</v>
      </c>
      <c r="H620" s="6">
        <f t="shared" si="50"/>
        <v>920</v>
      </c>
      <c r="I620" s="6">
        <f>INT(G620-C620*COS(IF(G620-A620=0,IF(H620&gt;B620,PI()/2,-PI()/2),IF(G620-A620&lt;0,PI(),0)+ATAN((H620-B620)/(G620-A620)))-ATAN(0.5)))</f>
        <v>558</v>
      </c>
      <c r="J620" s="6">
        <f>INT(H620-C620*SIN(IF(G620-A620=0,IF(H620&gt;B620,PI()/2,-PI()/2),IF(G620-A620&lt;0,PI(),0)+ATAN((H620-B620)/(G620-A620)))-ATAN(0.5)))</f>
        <v>937</v>
      </c>
      <c r="K620" s="6">
        <f>INT(G620-C620*COS(IF(G620-A620=0,IF(H620&gt;B620,PI()/2,-PI()/2),IF(G620-A620&lt;0,PI(),0)+ATAN((H620-B620)/(G620-A620)))+ATAN(0.5)))</f>
        <v>541</v>
      </c>
      <c r="L620" s="6">
        <f>INT(H620-C620*SIN(IF(G620-A620=0,IF(H620&gt;B620,PI()/2,-PI()/2),IF(G620-A620&lt;0,PI(),0)+ATAN((H620-B620)/(G620-A620)))+ATAN(0.5)))</f>
        <v>937</v>
      </c>
    </row>
    <row r="621" spans="1:12">
      <c r="A621">
        <f t="shared" si="49"/>
        <v>550</v>
      </c>
      <c r="B621">
        <f t="shared" si="49"/>
        <v>1170</v>
      </c>
      <c r="C621">
        <v>20</v>
      </c>
      <c r="D621">
        <f>F621*2+4</f>
        <v>10</v>
      </c>
      <c r="E621" t="s">
        <v>4</v>
      </c>
      <c r="F621" s="6">
        <v>3</v>
      </c>
      <c r="G621" s="6">
        <f t="shared" si="50"/>
        <v>406</v>
      </c>
      <c r="H621" s="6">
        <f t="shared" si="50"/>
        <v>1074</v>
      </c>
      <c r="I621" s="6">
        <f>INT(G621-C621*COS(IF(G621-A621=0,IF(H621&gt;B621,PI()/2,-PI()/2),IF(G621-A621&lt;0,PI(),0)+ATAN((H621-B621)/(G621-A621)))-ATAN(0.5)))</f>
        <v>425</v>
      </c>
      <c r="J621" s="6">
        <f>INT(H621-C621*SIN(IF(G621-A621=0,IF(H621&gt;B621,PI()/2,-PI()/2),IF(G621-A621&lt;0,PI(),0)+ATAN((H621-B621)/(G621-A621)))-ATAN(0.5)))</f>
        <v>1076</v>
      </c>
      <c r="K621" s="6">
        <f>INT(G621-C621*COS(IF(G621-A621=0,IF(H621&gt;B621,PI()/2,-PI()/2),IF(G621-A621&lt;0,PI(),0)+ATAN((H621-B621)/(G621-A621)))+ATAN(0.5)))</f>
        <v>415</v>
      </c>
      <c r="L621" s="6">
        <f>INT(H621-C621*SIN(IF(G621-A621=0,IF(H621&gt;B621,PI()/2,-PI()/2),IF(G621-A621&lt;0,PI(),0)+ATAN((H621-B621)/(G621-A621)))+ATAN(0.5)))</f>
        <v>1091</v>
      </c>
    </row>
    <row r="622" spans="1:12">
      <c r="D622">
        <f>ROUNDUP(6+F622/2,0)</f>
        <v>7</v>
      </c>
      <c r="E622" t="s">
        <v>6</v>
      </c>
      <c r="F622" s="6">
        <f>LEN(G622)</f>
        <v>1</v>
      </c>
      <c r="G622" s="6" t="s">
        <v>43</v>
      </c>
      <c r="H622" s="6">
        <f>H619-20</f>
        <v>1080</v>
      </c>
      <c r="I622" s="6">
        <f>G619+5</f>
        <v>765</v>
      </c>
    </row>
    <row r="623" spans="1:12">
      <c r="D623">
        <f>ROUNDUP(6+F623/2,0)</f>
        <v>7</v>
      </c>
      <c r="E623" t="s">
        <v>6</v>
      </c>
      <c r="F623" s="6">
        <f>LEN(G623)</f>
        <v>1</v>
      </c>
      <c r="G623" s="6" t="s">
        <v>42</v>
      </c>
      <c r="H623" s="6">
        <f>H620-30</f>
        <v>890</v>
      </c>
      <c r="I623" s="6">
        <f>G620-15</f>
        <v>535</v>
      </c>
    </row>
    <row r="624" spans="1:12">
      <c r="D624">
        <f>ROUNDUP(6+F624/2,0)</f>
        <v>7</v>
      </c>
      <c r="E624" t="s">
        <v>6</v>
      </c>
      <c r="F624" s="6">
        <f>LEN(G624)</f>
        <v>1</v>
      </c>
      <c r="G624" s="6" t="s">
        <v>22</v>
      </c>
      <c r="H624" s="6">
        <f>H621-35</f>
        <v>1039</v>
      </c>
      <c r="I624" s="6">
        <f>G621-15</f>
        <v>391</v>
      </c>
    </row>
    <row r="625" spans="1:12">
      <c r="A625" t="s">
        <v>77</v>
      </c>
      <c r="B625">
        <v>-280</v>
      </c>
      <c r="C625">
        <v>280</v>
      </c>
      <c r="D625">
        <f>F625*2+4</f>
        <v>8</v>
      </c>
      <c r="E625" t="s">
        <v>1</v>
      </c>
      <c r="F625" s="6">
        <v>2</v>
      </c>
      <c r="G625" s="6">
        <f>B625+G492</f>
        <v>270</v>
      </c>
      <c r="H625" s="6">
        <f>C625+H492</f>
        <v>980</v>
      </c>
      <c r="I625" s="6">
        <f>B625+I492</f>
        <v>270</v>
      </c>
      <c r="J625" s="6">
        <f>C625+J492</f>
        <v>730</v>
      </c>
    </row>
    <row r="626" spans="1:12">
      <c r="D626">
        <f>D625</f>
        <v>8</v>
      </c>
      <c r="E626" t="str">
        <f t="shared" ref="E626:F636" si="51">E625</f>
        <v>Polylinie</v>
      </c>
      <c r="F626" s="6">
        <f t="shared" si="51"/>
        <v>2</v>
      </c>
      <c r="G626" s="6">
        <f>B625+G493</f>
        <v>270</v>
      </c>
      <c r="H626" s="6">
        <f>C625+H493</f>
        <v>980</v>
      </c>
      <c r="I626" s="6">
        <f>B625+I493</f>
        <v>126</v>
      </c>
      <c r="J626" s="6">
        <f>C625+J493</f>
        <v>884</v>
      </c>
    </row>
    <row r="627" spans="1:12">
      <c r="D627">
        <f t="shared" ref="D627:D636" si="52">D626</f>
        <v>8</v>
      </c>
      <c r="E627" t="str">
        <f t="shared" si="51"/>
        <v>Polylinie</v>
      </c>
      <c r="F627" s="6">
        <f t="shared" si="51"/>
        <v>2</v>
      </c>
      <c r="G627" s="6">
        <f>B625+G494</f>
        <v>270</v>
      </c>
      <c r="H627" s="6">
        <f>C625+H494</f>
        <v>980</v>
      </c>
      <c r="I627" s="6">
        <f>B625+I494</f>
        <v>282</v>
      </c>
      <c r="J627" s="6">
        <f>C625+J494</f>
        <v>908</v>
      </c>
    </row>
    <row r="628" spans="1:12">
      <c r="D628">
        <f t="shared" si="52"/>
        <v>8</v>
      </c>
      <c r="E628" t="str">
        <f t="shared" si="51"/>
        <v>Polylinie</v>
      </c>
      <c r="F628" s="6">
        <f t="shared" si="51"/>
        <v>2</v>
      </c>
      <c r="G628" s="6">
        <f>B625+G501</f>
        <v>126</v>
      </c>
      <c r="H628" s="6">
        <f>C625+H501</f>
        <v>884</v>
      </c>
      <c r="I628" s="6">
        <f>B625+I501</f>
        <v>126</v>
      </c>
      <c r="J628" s="6">
        <f>C625+J501</f>
        <v>634</v>
      </c>
    </row>
    <row r="629" spans="1:12">
      <c r="D629">
        <f t="shared" si="52"/>
        <v>8</v>
      </c>
      <c r="E629" t="str">
        <f t="shared" si="51"/>
        <v>Polylinie</v>
      </c>
      <c r="F629" s="6">
        <f t="shared" si="51"/>
        <v>2</v>
      </c>
      <c r="G629" s="6">
        <f>B625+G504</f>
        <v>270</v>
      </c>
      <c r="H629" s="6">
        <f>C625+H504</f>
        <v>730</v>
      </c>
      <c r="I629" s="6">
        <f>B625+I504</f>
        <v>126</v>
      </c>
      <c r="J629" s="6">
        <f>C625+J504</f>
        <v>634</v>
      </c>
    </row>
    <row r="630" spans="1:12">
      <c r="D630">
        <f t="shared" si="52"/>
        <v>8</v>
      </c>
      <c r="E630" t="str">
        <f t="shared" si="51"/>
        <v>Polylinie</v>
      </c>
      <c r="F630" s="6">
        <f t="shared" si="51"/>
        <v>2</v>
      </c>
      <c r="G630" s="6">
        <f>B625+G511</f>
        <v>282</v>
      </c>
      <c r="H630" s="6">
        <f>C625+H511</f>
        <v>908</v>
      </c>
      <c r="I630" s="6">
        <f>B625+I511</f>
        <v>282</v>
      </c>
      <c r="J630" s="6">
        <f>C625+J511</f>
        <v>783</v>
      </c>
    </row>
    <row r="631" spans="1:12">
      <c r="D631">
        <f t="shared" si="52"/>
        <v>8</v>
      </c>
      <c r="E631" t="str">
        <f t="shared" si="51"/>
        <v>Polylinie</v>
      </c>
      <c r="F631" s="6">
        <f t="shared" si="51"/>
        <v>2</v>
      </c>
      <c r="G631" s="6">
        <f>B625+G512</f>
        <v>282</v>
      </c>
      <c r="H631" s="6">
        <f>C625+H512</f>
        <v>908</v>
      </c>
      <c r="I631" s="6">
        <f>B625+I512</f>
        <v>210</v>
      </c>
      <c r="J631" s="6">
        <f>C625+J512</f>
        <v>860</v>
      </c>
    </row>
    <row r="632" spans="1:12">
      <c r="D632">
        <f t="shared" si="52"/>
        <v>8</v>
      </c>
      <c r="E632" t="str">
        <f t="shared" si="51"/>
        <v>Polylinie</v>
      </c>
      <c r="F632" s="6">
        <f t="shared" si="51"/>
        <v>2</v>
      </c>
      <c r="G632" s="6">
        <f>B625+G515</f>
        <v>210</v>
      </c>
      <c r="H632" s="6">
        <f>C625+H515</f>
        <v>860</v>
      </c>
      <c r="I632" s="6">
        <f>B625+I515</f>
        <v>210</v>
      </c>
      <c r="J632" s="6">
        <f>C625+J515</f>
        <v>735</v>
      </c>
    </row>
    <row r="633" spans="1:12">
      <c r="D633">
        <f t="shared" si="52"/>
        <v>8</v>
      </c>
      <c r="E633" t="str">
        <f t="shared" si="51"/>
        <v>Polylinie</v>
      </c>
      <c r="F633" s="6">
        <f t="shared" si="51"/>
        <v>2</v>
      </c>
      <c r="G633" s="6">
        <f>B625+G518</f>
        <v>282</v>
      </c>
      <c r="H633" s="6">
        <f>C625+H518</f>
        <v>783</v>
      </c>
      <c r="I633" s="6">
        <f>B625+I518</f>
        <v>210</v>
      </c>
      <c r="J633" s="6">
        <f>C625+J518</f>
        <v>735</v>
      </c>
    </row>
    <row r="634" spans="1:12">
      <c r="D634">
        <f t="shared" si="52"/>
        <v>8</v>
      </c>
      <c r="E634" t="str">
        <f t="shared" si="51"/>
        <v>Polylinie</v>
      </c>
      <c r="F634" s="6">
        <f t="shared" si="51"/>
        <v>2</v>
      </c>
      <c r="G634" s="6">
        <f>B625+G526</f>
        <v>126</v>
      </c>
      <c r="H634" s="6">
        <f>C625+H526</f>
        <v>884</v>
      </c>
      <c r="I634" s="6">
        <f>B625+I526</f>
        <v>210</v>
      </c>
      <c r="J634" s="6">
        <f>C625+J526</f>
        <v>860</v>
      </c>
    </row>
    <row r="635" spans="1:12">
      <c r="D635">
        <f t="shared" si="52"/>
        <v>8</v>
      </c>
      <c r="E635" t="str">
        <f t="shared" si="51"/>
        <v>Polylinie</v>
      </c>
      <c r="F635" s="6">
        <f t="shared" si="51"/>
        <v>2</v>
      </c>
      <c r="G635" s="6">
        <f>B625+G527</f>
        <v>270</v>
      </c>
      <c r="H635" s="6">
        <f>C625+H527</f>
        <v>730</v>
      </c>
      <c r="I635" s="6">
        <f>B625+I527</f>
        <v>282</v>
      </c>
      <c r="J635" s="6">
        <f>C625+J527</f>
        <v>783</v>
      </c>
    </row>
    <row r="636" spans="1:12">
      <c r="D636">
        <f t="shared" si="52"/>
        <v>8</v>
      </c>
      <c r="E636" t="str">
        <f t="shared" si="51"/>
        <v>Polylinie</v>
      </c>
      <c r="F636" s="6">
        <f t="shared" si="51"/>
        <v>2</v>
      </c>
      <c r="G636" s="6">
        <f>B625+G530</f>
        <v>126</v>
      </c>
      <c r="H636" s="6">
        <f>C625+H530</f>
        <v>634</v>
      </c>
      <c r="I636" s="6">
        <f>B625+I530</f>
        <v>210</v>
      </c>
      <c r="J636" s="6">
        <f>C625+J530</f>
        <v>735</v>
      </c>
    </row>
    <row r="637" spans="1:12">
      <c r="A637">
        <f t="shared" ref="A637:B639" si="53">G625</f>
        <v>270</v>
      </c>
      <c r="B637">
        <f t="shared" si="53"/>
        <v>980</v>
      </c>
      <c r="C637">
        <v>20</v>
      </c>
      <c r="D637">
        <f>F637*2+4</f>
        <v>10</v>
      </c>
      <c r="E637" t="s">
        <v>4</v>
      </c>
      <c r="F637" s="6">
        <v>3</v>
      </c>
      <c r="G637" s="6">
        <f t="shared" ref="G637:H639" si="54">I625</f>
        <v>270</v>
      </c>
      <c r="H637" s="6">
        <f t="shared" si="54"/>
        <v>730</v>
      </c>
      <c r="I637" s="6">
        <f>INT(G637-C637*COS(IF(G637-A637=0,IF(H637&gt;B637,PI()/2,-PI()/2),IF(G637-A637&lt;0,PI(),0)+ATAN((H637-B637)/(G637-A637)))-ATAN(0.5)))</f>
        <v>278</v>
      </c>
      <c r="J637" s="6">
        <f>INT(H637-C637*SIN(IF(G637-A637=0,IF(H637&gt;B637,PI()/2,-PI()/2),IF(G637-A637&lt;0,PI(),0)+ATAN((H637-B637)/(G637-A637)))-ATAN(0.5)))</f>
        <v>747</v>
      </c>
      <c r="K637" s="6">
        <f>INT(G637-C637*COS(IF(G637-A637=0,IF(H637&gt;B637,PI()/2,-PI()/2),IF(G637-A637&lt;0,PI(),0)+ATAN((H637-B637)/(G637-A637)))+ATAN(0.5)))</f>
        <v>261</v>
      </c>
      <c r="L637" s="6">
        <f>INT(H637-C637*SIN(IF(G637-A637=0,IF(H637&gt;B637,PI()/2,-PI()/2),IF(G637-A637&lt;0,PI(),0)+ATAN((H637-B637)/(G637-A637)))+ATAN(0.5)))</f>
        <v>747</v>
      </c>
    </row>
    <row r="638" spans="1:12">
      <c r="A638">
        <f t="shared" si="53"/>
        <v>270</v>
      </c>
      <c r="B638">
        <f t="shared" si="53"/>
        <v>980</v>
      </c>
      <c r="C638">
        <v>20</v>
      </c>
      <c r="D638">
        <f>F638*2+4</f>
        <v>10</v>
      </c>
      <c r="E638" t="s">
        <v>4</v>
      </c>
      <c r="F638" s="6">
        <v>3</v>
      </c>
      <c r="G638" s="6">
        <f t="shared" si="54"/>
        <v>126</v>
      </c>
      <c r="H638" s="6">
        <f t="shared" si="54"/>
        <v>884</v>
      </c>
      <c r="I638" s="6">
        <f>INT(G638-C638*COS(IF(G638-A638=0,IF(H638&gt;B638,PI()/2,-PI()/2),IF(G638-A638&lt;0,PI(),0)+ATAN((H638-B638)/(G638-A638)))-ATAN(0.5)))</f>
        <v>145</v>
      </c>
      <c r="J638" s="6">
        <f>INT(H638-C638*SIN(IF(G638-A638=0,IF(H638&gt;B638,PI()/2,-PI()/2),IF(G638-A638&lt;0,PI(),0)+ATAN((H638-B638)/(G638-A638)))-ATAN(0.5)))</f>
        <v>886</v>
      </c>
      <c r="K638" s="6">
        <f>INT(G638-C638*COS(IF(G638-A638=0,IF(H638&gt;B638,PI()/2,-PI()/2),IF(G638-A638&lt;0,PI(),0)+ATAN((H638-B638)/(G638-A638)))+ATAN(0.5)))</f>
        <v>135</v>
      </c>
      <c r="L638" s="6">
        <f>INT(H638-C638*SIN(IF(G638-A638=0,IF(H638&gt;B638,PI()/2,-PI()/2),IF(G638-A638&lt;0,PI(),0)+ATAN((H638-B638)/(G638-A638)))+ATAN(0.5)))</f>
        <v>901</v>
      </c>
    </row>
    <row r="639" spans="1:12">
      <c r="A639">
        <f t="shared" si="53"/>
        <v>270</v>
      </c>
      <c r="B639">
        <f t="shared" si="53"/>
        <v>980</v>
      </c>
      <c r="C639">
        <v>20</v>
      </c>
      <c r="D639">
        <f>F639*2+4</f>
        <v>10</v>
      </c>
      <c r="E639" t="s">
        <v>4</v>
      </c>
      <c r="F639" s="6">
        <v>3</v>
      </c>
      <c r="G639" s="6">
        <f t="shared" si="54"/>
        <v>282</v>
      </c>
      <c r="H639" s="6">
        <f t="shared" si="54"/>
        <v>908</v>
      </c>
      <c r="I639" s="6">
        <f>INT(G639-C639*COS(IF(G639-A639=0,IF(H639&gt;B639,PI()/2,-PI()/2),IF(G639-A639&lt;0,PI(),0)+ATAN((H639-B639)/(G639-A639)))-ATAN(0.5)))</f>
        <v>287</v>
      </c>
      <c r="J639" s="6">
        <f>INT(H639-C639*SIN(IF(G639-A639=0,IF(H639&gt;B639,PI()/2,-PI()/2),IF(G639-A639&lt;0,PI(),0)+ATAN((H639-B639)/(G639-A639)))-ATAN(0.5)))</f>
        <v>927</v>
      </c>
      <c r="K639" s="6">
        <f>INT(G639-C639*COS(IF(G639-A639=0,IF(H639&gt;B639,PI()/2,-PI()/2),IF(G639-A639&lt;0,PI(),0)+ATAN((H639-B639)/(G639-A639)))+ATAN(0.5)))</f>
        <v>270</v>
      </c>
      <c r="L639" s="6">
        <f>INT(H639-C639*SIN(IF(G639-A639=0,IF(H639&gt;B639,PI()/2,-PI()/2),IF(G639-A639&lt;0,PI(),0)+ATAN((H639-B639)/(G639-A639)))+ATAN(0.5)))</f>
        <v>924</v>
      </c>
    </row>
    <row r="640" spans="1:12">
      <c r="D640">
        <f>ROUNDUP(6+F640/2,0)</f>
        <v>7</v>
      </c>
      <c r="E640" t="s">
        <v>6</v>
      </c>
      <c r="F640" s="6">
        <f>LEN(G640)</f>
        <v>1</v>
      </c>
      <c r="G640" s="6" t="s">
        <v>42</v>
      </c>
      <c r="H640" s="6">
        <f>H637-20</f>
        <v>710</v>
      </c>
      <c r="I640" s="6">
        <f>G637+5</f>
        <v>275</v>
      </c>
    </row>
    <row r="641" spans="1:12">
      <c r="D641">
        <f>ROUNDUP(6+F641/2,0)</f>
        <v>7</v>
      </c>
      <c r="E641" t="s">
        <v>6</v>
      </c>
      <c r="F641" s="6">
        <f>LEN(G641)</f>
        <v>1</v>
      </c>
      <c r="G641" s="6" t="s">
        <v>22</v>
      </c>
      <c r="H641" s="6">
        <f>H638-30</f>
        <v>854</v>
      </c>
      <c r="I641" s="6">
        <f>G638-15</f>
        <v>111</v>
      </c>
    </row>
    <row r="642" spans="1:12">
      <c r="D642">
        <f>ROUNDUP(6+F642/2,0)</f>
        <v>8</v>
      </c>
      <c r="E642" t="s">
        <v>6</v>
      </c>
      <c r="F642" s="6">
        <f>LEN(G642)</f>
        <v>3</v>
      </c>
      <c r="G642" s="32" t="s">
        <v>80</v>
      </c>
      <c r="H642" s="6">
        <f>H639-35</f>
        <v>873</v>
      </c>
      <c r="I642" s="6">
        <f>G639-15</f>
        <v>267</v>
      </c>
    </row>
    <row r="643" spans="1:12">
      <c r="A643" t="s">
        <v>78</v>
      </c>
      <c r="B643">
        <v>-400</v>
      </c>
      <c r="C643">
        <v>100</v>
      </c>
      <c r="D643">
        <f>F643*2+4</f>
        <v>8</v>
      </c>
      <c r="E643" t="s">
        <v>1</v>
      </c>
      <c r="F643" s="6">
        <v>2</v>
      </c>
      <c r="G643" s="6">
        <f>B643+G500</f>
        <v>360</v>
      </c>
      <c r="H643" s="6">
        <f>C643+H500</f>
        <v>480</v>
      </c>
      <c r="I643" s="6">
        <f>B643+I500</f>
        <v>216</v>
      </c>
      <c r="J643" s="6">
        <f>C643+J500</f>
        <v>384</v>
      </c>
    </row>
    <row r="644" spans="1:12">
      <c r="D644">
        <f>D643</f>
        <v>8</v>
      </c>
      <c r="E644" t="str">
        <f t="shared" ref="E644:F654" si="55">E643</f>
        <v>Polylinie</v>
      </c>
      <c r="F644" s="6">
        <f t="shared" si="55"/>
        <v>2</v>
      </c>
      <c r="G644" s="6">
        <f>B643+G502</f>
        <v>6</v>
      </c>
      <c r="H644" s="6">
        <f>C643+H502</f>
        <v>454</v>
      </c>
      <c r="I644" s="6">
        <f>B643+I502</f>
        <v>216</v>
      </c>
      <c r="J644" s="6">
        <f>C643+J502</f>
        <v>384</v>
      </c>
    </row>
    <row r="645" spans="1:12">
      <c r="D645">
        <f t="shared" ref="D645:D654" si="56">D644</f>
        <v>8</v>
      </c>
      <c r="E645" t="str">
        <f t="shared" si="55"/>
        <v>Polylinie</v>
      </c>
      <c r="F645" s="6">
        <f t="shared" si="55"/>
        <v>2</v>
      </c>
      <c r="G645" s="6">
        <f>B643+G503</f>
        <v>150</v>
      </c>
      <c r="H645" s="6">
        <f>C643+H503</f>
        <v>550</v>
      </c>
      <c r="I645" s="6">
        <f>B643+I503</f>
        <v>360</v>
      </c>
      <c r="J645" s="6">
        <f>C643+J503</f>
        <v>480</v>
      </c>
    </row>
    <row r="646" spans="1:12">
      <c r="D646">
        <f t="shared" si="56"/>
        <v>8</v>
      </c>
      <c r="E646" t="str">
        <f t="shared" si="55"/>
        <v>Polylinie</v>
      </c>
      <c r="F646" s="6">
        <f t="shared" si="55"/>
        <v>2</v>
      </c>
      <c r="G646" s="6">
        <f>B643+G504</f>
        <v>150</v>
      </c>
      <c r="H646" s="6">
        <f>C643+H504</f>
        <v>550</v>
      </c>
      <c r="I646" s="6">
        <f>B643+I504</f>
        <v>6</v>
      </c>
      <c r="J646" s="6">
        <f>C643+J504</f>
        <v>454</v>
      </c>
    </row>
    <row r="647" spans="1:12">
      <c r="D647">
        <f t="shared" si="56"/>
        <v>8</v>
      </c>
      <c r="E647" t="str">
        <f t="shared" si="55"/>
        <v>Polylinie</v>
      </c>
      <c r="F647" s="6">
        <f t="shared" si="55"/>
        <v>2</v>
      </c>
      <c r="G647" s="6">
        <f>B643+G514</f>
        <v>267</v>
      </c>
      <c r="H647" s="6">
        <f>C643+H514</f>
        <v>568</v>
      </c>
      <c r="I647" s="6">
        <f>B643+I514</f>
        <v>195</v>
      </c>
      <c r="J647" s="6">
        <f>C643+J514</f>
        <v>520</v>
      </c>
    </row>
    <row r="648" spans="1:12">
      <c r="D648">
        <f t="shared" si="56"/>
        <v>8</v>
      </c>
      <c r="E648" t="str">
        <f t="shared" si="55"/>
        <v>Polylinie</v>
      </c>
      <c r="F648" s="6">
        <f t="shared" si="55"/>
        <v>2</v>
      </c>
      <c r="G648" s="6">
        <f>B643+G516</f>
        <v>90</v>
      </c>
      <c r="H648" s="6">
        <f>C643+H516</f>
        <v>555</v>
      </c>
      <c r="I648" s="6">
        <f>B643+I516</f>
        <v>195</v>
      </c>
      <c r="J648" s="6">
        <f>C643+J516</f>
        <v>520</v>
      </c>
    </row>
    <row r="649" spans="1:12">
      <c r="D649">
        <f t="shared" si="56"/>
        <v>8</v>
      </c>
      <c r="E649" t="str">
        <f t="shared" si="55"/>
        <v>Polylinie</v>
      </c>
      <c r="F649" s="6">
        <f t="shared" si="55"/>
        <v>2</v>
      </c>
      <c r="G649" s="6">
        <f>B643+G517</f>
        <v>162</v>
      </c>
      <c r="H649" s="6">
        <f>C643+H517</f>
        <v>603</v>
      </c>
      <c r="I649" s="6">
        <f>B643+I517</f>
        <v>267</v>
      </c>
      <c r="J649" s="6">
        <f>C643+J517</f>
        <v>568</v>
      </c>
    </row>
    <row r="650" spans="1:12">
      <c r="D650">
        <f t="shared" si="56"/>
        <v>8</v>
      </c>
      <c r="E650" t="str">
        <f t="shared" si="55"/>
        <v>Polylinie</v>
      </c>
      <c r="F650" s="6">
        <f t="shared" si="55"/>
        <v>2</v>
      </c>
      <c r="G650" s="6">
        <f>B643+G518</f>
        <v>162</v>
      </c>
      <c r="H650" s="6">
        <f>C643+H518</f>
        <v>603</v>
      </c>
      <c r="I650" s="6">
        <f>B643+I518</f>
        <v>90</v>
      </c>
      <c r="J650" s="6">
        <f>C643+J518</f>
        <v>555</v>
      </c>
    </row>
    <row r="651" spans="1:12">
      <c r="D651">
        <f t="shared" si="56"/>
        <v>8</v>
      </c>
      <c r="E651" t="str">
        <f t="shared" si="55"/>
        <v>Polylinie</v>
      </c>
      <c r="F651" s="6">
        <f t="shared" si="55"/>
        <v>2</v>
      </c>
      <c r="G651" s="6">
        <f>B643+G527</f>
        <v>150</v>
      </c>
      <c r="H651" s="6">
        <f>C643+H527</f>
        <v>550</v>
      </c>
      <c r="I651" s="6">
        <f>B643+I527</f>
        <v>162</v>
      </c>
      <c r="J651" s="6">
        <f>C643+J527</f>
        <v>603</v>
      </c>
    </row>
    <row r="652" spans="1:12">
      <c r="D652">
        <f t="shared" si="56"/>
        <v>8</v>
      </c>
      <c r="E652" t="str">
        <f t="shared" si="55"/>
        <v>Polylinie</v>
      </c>
      <c r="F652" s="6">
        <f t="shared" si="55"/>
        <v>2</v>
      </c>
      <c r="G652" s="6">
        <f>B643+G528</f>
        <v>360</v>
      </c>
      <c r="H652" s="6">
        <f>C643+H528</f>
        <v>480</v>
      </c>
      <c r="I652" s="6">
        <f>B643+I528</f>
        <v>267</v>
      </c>
      <c r="J652" s="6">
        <f>C643+J528</f>
        <v>568</v>
      </c>
    </row>
    <row r="653" spans="1:12">
      <c r="D653">
        <f t="shared" si="56"/>
        <v>8</v>
      </c>
      <c r="E653" t="str">
        <f t="shared" si="55"/>
        <v>Polylinie</v>
      </c>
      <c r="F653" s="6">
        <f t="shared" si="55"/>
        <v>2</v>
      </c>
      <c r="G653" s="6">
        <f>B643+G529</f>
        <v>216</v>
      </c>
      <c r="H653" s="6">
        <f>C643+H529</f>
        <v>384</v>
      </c>
      <c r="I653" s="6">
        <f>B643+I529</f>
        <v>195</v>
      </c>
      <c r="J653" s="6">
        <f>C643+J529</f>
        <v>520</v>
      </c>
    </row>
    <row r="654" spans="1:12">
      <c r="D654">
        <f t="shared" si="56"/>
        <v>8</v>
      </c>
      <c r="E654" t="str">
        <f t="shared" si="55"/>
        <v>Polylinie</v>
      </c>
      <c r="F654" s="6">
        <f t="shared" si="55"/>
        <v>2</v>
      </c>
      <c r="G654" s="6">
        <f>B643+G530</f>
        <v>6</v>
      </c>
      <c r="H654" s="6">
        <f>C643+H530</f>
        <v>454</v>
      </c>
      <c r="I654" s="6">
        <f>B643+I530</f>
        <v>90</v>
      </c>
      <c r="J654" s="6">
        <f>C643+J530</f>
        <v>555</v>
      </c>
    </row>
    <row r="655" spans="1:12">
      <c r="A655">
        <f>G649</f>
        <v>162</v>
      </c>
      <c r="B655">
        <f>H649</f>
        <v>603</v>
      </c>
      <c r="C655">
        <v>20</v>
      </c>
      <c r="D655">
        <f>F655*2+4</f>
        <v>10</v>
      </c>
      <c r="E655" t="s">
        <v>4</v>
      </c>
      <c r="F655" s="6">
        <v>3</v>
      </c>
      <c r="G655" s="6">
        <f>I649</f>
        <v>267</v>
      </c>
      <c r="H655" s="6">
        <f>J649</f>
        <v>568</v>
      </c>
      <c r="I655" s="6">
        <f>INT(G655-C655*COS(IF(G655-A655=0,IF(H655&gt;B655,PI()/2,-PI()/2),IF(G655-A655&lt;0,PI(),0)+ATAN((H655-B655)/(G655-A655)))-ATAN(0.5)))</f>
        <v>252</v>
      </c>
      <c r="J655" s="6">
        <f>INT(H655-C655*SIN(IF(G655-A655=0,IF(H655&gt;B655,PI()/2,-PI()/2),IF(G655-A655&lt;0,PI(),0)+ATAN((H655-B655)/(G655-A655)))-ATAN(0.5)))</f>
        <v>582</v>
      </c>
      <c r="K655" s="6">
        <f>INT(G655-C655*COS(IF(G655-A655=0,IF(H655&gt;B655,PI()/2,-PI()/2),IF(G655-A655&lt;0,PI(),0)+ATAN((H655-B655)/(G655-A655)))+ATAN(0.5)))</f>
        <v>247</v>
      </c>
      <c r="L655" s="6">
        <f>INT(H655-C655*SIN(IF(G655-A655=0,IF(H655&gt;B655,PI()/2,-PI()/2),IF(G655-A655&lt;0,PI(),0)+ATAN((H655-B655)/(G655-A655)))+ATAN(0.5)))</f>
        <v>565</v>
      </c>
    </row>
    <row r="656" spans="1:12">
      <c r="A656">
        <f>G650</f>
        <v>162</v>
      </c>
      <c r="B656">
        <f>H650</f>
        <v>603</v>
      </c>
      <c r="C656">
        <v>20</v>
      </c>
      <c r="D656">
        <f>F656*2+4</f>
        <v>10</v>
      </c>
      <c r="E656" t="s">
        <v>4</v>
      </c>
      <c r="F656" s="6">
        <v>3</v>
      </c>
      <c r="G656" s="6">
        <f>I650</f>
        <v>90</v>
      </c>
      <c r="H656" s="6">
        <f>J650</f>
        <v>555</v>
      </c>
      <c r="I656" s="6">
        <f>INT(G656-C656*COS(IF(G656-A656=0,IF(H656&gt;B656,PI()/2,-PI()/2),IF(G656-A656&lt;0,PI(),0)+ATAN((H656-B656)/(G656-A656)))-ATAN(0.5)))</f>
        <v>109</v>
      </c>
      <c r="J656" s="6">
        <f>INT(H656-C656*SIN(IF(G656-A656=0,IF(H656&gt;B656,PI()/2,-PI()/2),IF(G656-A656&lt;0,PI(),0)+ATAN((H656-B656)/(G656-A656)))-ATAN(0.5)))</f>
        <v>557</v>
      </c>
      <c r="K656" s="6">
        <f>INT(G656-C656*COS(IF(G656-A656=0,IF(H656&gt;B656,PI()/2,-PI()/2),IF(G656-A656&lt;0,PI(),0)+ATAN((H656-B656)/(G656-A656)))+ATAN(0.5)))</f>
        <v>99</v>
      </c>
      <c r="L656" s="6">
        <f>INT(H656-C656*SIN(IF(G656-A656=0,IF(H656&gt;B656,PI()/2,-PI()/2),IF(G656-A656&lt;0,PI(),0)+ATAN((H656-B656)/(G656-A656)))+ATAN(0.5)))</f>
        <v>572</v>
      </c>
    </row>
    <row r="657" spans="1:12">
      <c r="A657">
        <f>A656</f>
        <v>162</v>
      </c>
      <c r="B657">
        <f>B656</f>
        <v>603</v>
      </c>
      <c r="C657">
        <v>20</v>
      </c>
      <c r="D657">
        <f>F657*2+4</f>
        <v>10</v>
      </c>
      <c r="E657" t="s">
        <v>4</v>
      </c>
      <c r="F657" s="6">
        <v>3</v>
      </c>
      <c r="G657" s="6">
        <f>G651</f>
        <v>150</v>
      </c>
      <c r="H657" s="6">
        <f>H651</f>
        <v>550</v>
      </c>
      <c r="I657" s="6">
        <f>INT(G657-C657*COS(IF(G657-A657=0,IF(H657&gt;B657,PI()/2,-PI()/2),IF(G657-A657&lt;0,PI(),0)+ATAN((H657-B657)/(G657-A657)))-ATAN(0.5)))</f>
        <v>162</v>
      </c>
      <c r="J657" s="6">
        <f>INT(H657-C657*SIN(IF(G657-A657=0,IF(H657&gt;B657,PI()/2,-PI()/2),IF(G657-A657&lt;0,PI(),0)+ATAN((H657-B657)/(G657-A657)))-ATAN(0.5)))</f>
        <v>565</v>
      </c>
      <c r="K657" s="6">
        <f>INT(G657-C657*COS(IF(G657-A657=0,IF(H657&gt;B657,PI()/2,-PI()/2),IF(G657-A657&lt;0,PI(),0)+ATAN((H657-B657)/(G657-A657)))+ATAN(0.5)))</f>
        <v>145</v>
      </c>
      <c r="L657" s="6">
        <f>INT(H657-C657*SIN(IF(G657-A657=0,IF(H657&gt;B657,PI()/2,-PI()/2),IF(G657-A657&lt;0,PI(),0)+ATAN((H657-B657)/(G657-A657)))+ATAN(0.5)))</f>
        <v>569</v>
      </c>
    </row>
    <row r="658" spans="1:12">
      <c r="D658">
        <f>ROUNDUP(6+F658/2,0)</f>
        <v>7</v>
      </c>
      <c r="E658" t="s">
        <v>6</v>
      </c>
      <c r="F658" s="6">
        <f>LEN(G658)</f>
        <v>1</v>
      </c>
      <c r="G658" s="6" t="s">
        <v>43</v>
      </c>
      <c r="H658" s="6">
        <f>H655-20</f>
        <v>548</v>
      </c>
      <c r="I658" s="6">
        <f>G655+5</f>
        <v>272</v>
      </c>
    </row>
    <row r="659" spans="1:12">
      <c r="D659">
        <f>ROUNDUP(6+F659/2,0)</f>
        <v>7</v>
      </c>
      <c r="E659" t="s">
        <v>6</v>
      </c>
      <c r="F659" s="6">
        <f>LEN(G659)</f>
        <v>1</v>
      </c>
      <c r="G659" s="6" t="s">
        <v>22</v>
      </c>
      <c r="H659" s="6">
        <f>H656-30</f>
        <v>525</v>
      </c>
      <c r="I659" s="6">
        <f>G656-15</f>
        <v>75</v>
      </c>
    </row>
    <row r="660" spans="1:12">
      <c r="D660">
        <f>ROUNDUP(6+F660/2,0)</f>
        <v>8</v>
      </c>
      <c r="E660" t="s">
        <v>6</v>
      </c>
      <c r="F660" s="6">
        <f>LEN(G660)</f>
        <v>3</v>
      </c>
      <c r="G660" s="32" t="s">
        <v>80</v>
      </c>
      <c r="H660" s="6">
        <f>H657-35</f>
        <v>515</v>
      </c>
      <c r="I660" s="6">
        <f>G657-15</f>
        <v>135</v>
      </c>
    </row>
    <row r="661" spans="1:12">
      <c r="A661" t="s">
        <v>79</v>
      </c>
      <c r="B661">
        <v>-280</v>
      </c>
      <c r="C661">
        <v>-280</v>
      </c>
      <c r="D661">
        <f>F661*2+4</f>
        <v>8</v>
      </c>
      <c r="E661" t="s">
        <v>1</v>
      </c>
      <c r="F661" s="6">
        <v>2</v>
      </c>
      <c r="G661" s="6">
        <f>B661+G501</f>
        <v>126</v>
      </c>
      <c r="H661" s="6">
        <f>C661+H501</f>
        <v>324</v>
      </c>
      <c r="I661" s="6">
        <f>B661+I501</f>
        <v>126</v>
      </c>
      <c r="J661" s="6">
        <f>C661+J501</f>
        <v>74</v>
      </c>
    </row>
    <row r="662" spans="1:12">
      <c r="D662">
        <f>D661</f>
        <v>8</v>
      </c>
      <c r="E662" t="str">
        <f t="shared" ref="E662:F672" si="57">E661</f>
        <v>Polylinie</v>
      </c>
      <c r="F662" s="6">
        <f t="shared" si="57"/>
        <v>2</v>
      </c>
      <c r="G662" s="6">
        <f>B661+G502</f>
        <v>126</v>
      </c>
      <c r="H662" s="6">
        <f>C661+H502</f>
        <v>74</v>
      </c>
      <c r="I662" s="6">
        <f>B661+I502</f>
        <v>336</v>
      </c>
      <c r="J662" s="6">
        <f>C661+J502</f>
        <v>4</v>
      </c>
    </row>
    <row r="663" spans="1:12">
      <c r="D663">
        <f t="shared" ref="D663:D672" si="58">D662</f>
        <v>8</v>
      </c>
      <c r="E663" t="str">
        <f t="shared" si="57"/>
        <v>Polylinie</v>
      </c>
      <c r="F663" s="6">
        <f t="shared" si="57"/>
        <v>2</v>
      </c>
      <c r="G663" s="6">
        <f>B661+G506</f>
        <v>126</v>
      </c>
      <c r="H663" s="6">
        <f>C661+H506</f>
        <v>324</v>
      </c>
      <c r="I663" s="6">
        <f>B661+I506</f>
        <v>336</v>
      </c>
      <c r="J663" s="6">
        <f>C661+J506</f>
        <v>254</v>
      </c>
    </row>
    <row r="664" spans="1:12">
      <c r="D664">
        <f t="shared" si="58"/>
        <v>8</v>
      </c>
      <c r="E664" t="str">
        <f t="shared" si="57"/>
        <v>Polylinie</v>
      </c>
      <c r="F664" s="6">
        <f t="shared" si="57"/>
        <v>2</v>
      </c>
      <c r="G664" s="6">
        <f>B661+G508</f>
        <v>336</v>
      </c>
      <c r="H664" s="6">
        <f>C661+H508</f>
        <v>254</v>
      </c>
      <c r="I664" s="6">
        <f>B661+I508</f>
        <v>336</v>
      </c>
      <c r="J664" s="6">
        <f>C661+J508</f>
        <v>4</v>
      </c>
    </row>
    <row r="665" spans="1:12">
      <c r="D665">
        <f t="shared" si="58"/>
        <v>8</v>
      </c>
      <c r="E665" t="str">
        <f t="shared" si="57"/>
        <v>Polylinie</v>
      </c>
      <c r="F665" s="6">
        <f t="shared" si="57"/>
        <v>2</v>
      </c>
      <c r="G665" s="6">
        <f>B661+G515</f>
        <v>210</v>
      </c>
      <c r="H665" s="6">
        <f>C661+H515</f>
        <v>300</v>
      </c>
      <c r="I665" s="6">
        <f>B661+I515</f>
        <v>210</v>
      </c>
      <c r="J665" s="6">
        <f>C661+J515</f>
        <v>175</v>
      </c>
    </row>
    <row r="666" spans="1:12">
      <c r="D666">
        <f t="shared" si="58"/>
        <v>8</v>
      </c>
      <c r="E666" t="str">
        <f t="shared" si="57"/>
        <v>Polylinie</v>
      </c>
      <c r="F666" s="6">
        <f t="shared" si="57"/>
        <v>2</v>
      </c>
      <c r="G666" s="6">
        <f>B661+G516</f>
        <v>210</v>
      </c>
      <c r="H666" s="6">
        <f>C661+H516</f>
        <v>175</v>
      </c>
      <c r="I666" s="6">
        <f>B661+I516</f>
        <v>315</v>
      </c>
      <c r="J666" s="6">
        <f>C661+J516</f>
        <v>140</v>
      </c>
    </row>
    <row r="667" spans="1:12">
      <c r="D667">
        <f t="shared" si="58"/>
        <v>8</v>
      </c>
      <c r="E667" t="str">
        <f t="shared" si="57"/>
        <v>Polylinie</v>
      </c>
      <c r="F667" s="6">
        <f t="shared" si="57"/>
        <v>2</v>
      </c>
      <c r="G667" s="6">
        <f>B661+G520</f>
        <v>210</v>
      </c>
      <c r="H667" s="6">
        <f>C661+H520</f>
        <v>300</v>
      </c>
      <c r="I667" s="6">
        <f>B661+I520</f>
        <v>315</v>
      </c>
      <c r="J667" s="6">
        <f>C661+J520</f>
        <v>265</v>
      </c>
    </row>
    <row r="668" spans="1:12">
      <c r="D668">
        <f t="shared" si="58"/>
        <v>8</v>
      </c>
      <c r="E668" t="str">
        <f t="shared" si="57"/>
        <v>Polylinie</v>
      </c>
      <c r="F668" s="6">
        <f t="shared" si="57"/>
        <v>2</v>
      </c>
      <c r="G668" s="6">
        <f>B661+G522</f>
        <v>315</v>
      </c>
      <c r="H668" s="6">
        <f>C661+H522</f>
        <v>265</v>
      </c>
      <c r="I668" s="6">
        <f>B661+I522</f>
        <v>315</v>
      </c>
      <c r="J668" s="6">
        <f>C661+J522</f>
        <v>140</v>
      </c>
    </row>
    <row r="669" spans="1:12">
      <c r="D669">
        <f t="shared" si="58"/>
        <v>8</v>
      </c>
      <c r="E669" t="str">
        <f t="shared" si="57"/>
        <v>Polylinie</v>
      </c>
      <c r="F669" s="6">
        <f t="shared" si="57"/>
        <v>2</v>
      </c>
      <c r="G669" s="6">
        <f>B661+G523</f>
        <v>336</v>
      </c>
      <c r="H669" s="6">
        <f>C661+H523</f>
        <v>254</v>
      </c>
      <c r="I669" s="6">
        <f>B661+I523</f>
        <v>315</v>
      </c>
      <c r="J669" s="6">
        <f>C661+J523</f>
        <v>265</v>
      </c>
    </row>
    <row r="670" spans="1:12">
      <c r="D670">
        <f t="shared" si="58"/>
        <v>8</v>
      </c>
      <c r="E670" t="str">
        <f t="shared" si="57"/>
        <v>Polylinie</v>
      </c>
      <c r="F670" s="6">
        <f t="shared" si="57"/>
        <v>2</v>
      </c>
      <c r="G670" s="6">
        <f>B661+G526</f>
        <v>126</v>
      </c>
      <c r="H670" s="6">
        <f>C661+H526</f>
        <v>324</v>
      </c>
      <c r="I670" s="6">
        <f>B661+I526</f>
        <v>210</v>
      </c>
      <c r="J670" s="6">
        <f>C661+J526</f>
        <v>300</v>
      </c>
    </row>
    <row r="671" spans="1:12">
      <c r="D671">
        <f t="shared" si="58"/>
        <v>8</v>
      </c>
      <c r="E671" t="str">
        <f t="shared" si="57"/>
        <v>Polylinie</v>
      </c>
      <c r="F671" s="6">
        <f t="shared" si="57"/>
        <v>2</v>
      </c>
      <c r="G671" s="6">
        <f>B661+G529</f>
        <v>336</v>
      </c>
      <c r="H671" s="6">
        <f>C661+H529</f>
        <v>4</v>
      </c>
      <c r="I671" s="6">
        <f>B661+I529</f>
        <v>315</v>
      </c>
      <c r="J671" s="6">
        <f>C661+J529</f>
        <v>140</v>
      </c>
    </row>
    <row r="672" spans="1:12">
      <c r="D672">
        <f t="shared" si="58"/>
        <v>8</v>
      </c>
      <c r="E672" t="str">
        <f t="shared" si="57"/>
        <v>Polylinie</v>
      </c>
      <c r="F672" s="6">
        <f t="shared" si="57"/>
        <v>2</v>
      </c>
      <c r="G672" s="6">
        <f>B661+G530</f>
        <v>126</v>
      </c>
      <c r="H672" s="6">
        <f>C661+H530</f>
        <v>74</v>
      </c>
      <c r="I672" s="6">
        <f>B661+I530</f>
        <v>210</v>
      </c>
      <c r="J672" s="6">
        <f>C661+J530</f>
        <v>175</v>
      </c>
    </row>
    <row r="673" spans="1:15">
      <c r="A673">
        <f>G661</f>
        <v>126</v>
      </c>
      <c r="B673">
        <f>H661</f>
        <v>324</v>
      </c>
      <c r="C673">
        <v>20</v>
      </c>
      <c r="D673">
        <f>F673*2+4</f>
        <v>10</v>
      </c>
      <c r="E673" t="s">
        <v>4</v>
      </c>
      <c r="F673" s="6">
        <v>3</v>
      </c>
      <c r="G673" s="6">
        <f>I661</f>
        <v>126</v>
      </c>
      <c r="H673" s="6">
        <f>J661</f>
        <v>74</v>
      </c>
      <c r="I673" s="6">
        <f>INT(G673-C673*COS(IF(G673-A673=0,IF(H673&gt;B673,PI()/2,-PI()/2),IF(G673-A673&lt;0,PI(),0)+ATAN((H673-B673)/(G673-A673)))-ATAN(0.5)))</f>
        <v>134</v>
      </c>
      <c r="J673" s="6">
        <f>INT(H673-C673*SIN(IF(G673-A673=0,IF(H673&gt;B673,PI()/2,-PI()/2),IF(G673-A673&lt;0,PI(),0)+ATAN((H673-B673)/(G673-A673)))-ATAN(0.5)))</f>
        <v>91</v>
      </c>
      <c r="K673" s="6">
        <f>INT(G673-C673*COS(IF(G673-A673=0,IF(H673&gt;B673,PI()/2,-PI()/2),IF(G673-A673&lt;0,PI(),0)+ATAN((H673-B673)/(G673-A673)))+ATAN(0.5)))</f>
        <v>117</v>
      </c>
      <c r="L673" s="6">
        <f>INT(H673-C673*SIN(IF(G673-A673=0,IF(H673&gt;B673,PI()/2,-PI()/2),IF(G673-A673&lt;0,PI(),0)+ATAN((H673-B673)/(G673-A673)))+ATAN(0.5)))</f>
        <v>91</v>
      </c>
    </row>
    <row r="674" spans="1:15">
      <c r="A674">
        <f>G663</f>
        <v>126</v>
      </c>
      <c r="B674">
        <f>H663</f>
        <v>324</v>
      </c>
      <c r="C674">
        <v>20</v>
      </c>
      <c r="D674">
        <f>F674*2+4</f>
        <v>10</v>
      </c>
      <c r="E674" t="s">
        <v>4</v>
      </c>
      <c r="F674" s="6">
        <v>3</v>
      </c>
      <c r="G674" s="6">
        <f>I663</f>
        <v>336</v>
      </c>
      <c r="H674" s="6">
        <f>J663</f>
        <v>254</v>
      </c>
      <c r="I674" s="6">
        <f>INT(G674-C674*COS(IF(G674-A674=0,IF(H674&gt;B674,PI()/2,-PI()/2),IF(G674-A674&lt;0,PI(),0)+ATAN((H674-B674)/(G674-A674)))-ATAN(0.5)))</f>
        <v>321</v>
      </c>
      <c r="J674" s="6">
        <f>INT(H674-C674*SIN(IF(G674-A674=0,IF(H674&gt;B674,PI()/2,-PI()/2),IF(G674-A674&lt;0,PI(),0)+ATAN((H674-B674)/(G674-A674)))-ATAN(0.5)))</f>
        <v>268</v>
      </c>
      <c r="K674" s="6">
        <f>INT(G674-C674*COS(IF(G674-A674=0,IF(H674&gt;B674,PI()/2,-PI()/2),IF(G674-A674&lt;0,PI(),0)+ATAN((H674-B674)/(G674-A674)))+ATAN(0.5)))</f>
        <v>316</v>
      </c>
      <c r="L674" s="6">
        <f>INT(H674-C674*SIN(IF(G674-A674=0,IF(H674&gt;B674,PI()/2,-PI()/2),IF(G674-A674&lt;0,PI(),0)+ATAN((H674-B674)/(G674-A674)))+ATAN(0.5)))</f>
        <v>251</v>
      </c>
    </row>
    <row r="675" spans="1:15">
      <c r="A675">
        <f>G670</f>
        <v>126</v>
      </c>
      <c r="B675">
        <f>H670</f>
        <v>324</v>
      </c>
      <c r="C675">
        <v>20</v>
      </c>
      <c r="D675">
        <f>F675*2+4</f>
        <v>10</v>
      </c>
      <c r="E675" t="s">
        <v>4</v>
      </c>
      <c r="F675" s="6">
        <v>3</v>
      </c>
      <c r="G675" s="6">
        <f>I670</f>
        <v>210</v>
      </c>
      <c r="H675" s="6">
        <f>J670</f>
        <v>300</v>
      </c>
      <c r="I675" s="6">
        <f>INT(G675-C675*COS(IF(G675-A675=0,IF(H675&gt;B675,PI()/2,-PI()/2),IF(G675-A675&lt;0,PI(),0)+ATAN((H675-B675)/(G675-A675)))-ATAN(0.5)))</f>
        <v>195</v>
      </c>
      <c r="J675" s="6">
        <f>INT(H675-C675*SIN(IF(G675-A675=0,IF(H675&gt;B675,PI()/2,-PI()/2),IF(G675-A675&lt;0,PI(),0)+ATAN((H675-B675)/(G675-A675)))-ATAN(0.5)))</f>
        <v>313</v>
      </c>
      <c r="K675" s="6">
        <f>INT(G675-C675*COS(IF(G675-A675=0,IF(H675&gt;B675,PI()/2,-PI()/2),IF(G675-A675&lt;0,PI(),0)+ATAN((H675-B675)/(G675-A675)))+ATAN(0.5)))</f>
        <v>190</v>
      </c>
      <c r="L675" s="6">
        <f>INT(H675-C675*SIN(IF(G675-A675=0,IF(H675&gt;B675,PI()/2,-PI()/2),IF(G675-A675&lt;0,PI(),0)+ATAN((H675-B675)/(G675-A675)))+ATAN(0.5)))</f>
        <v>296</v>
      </c>
    </row>
    <row r="676" spans="1:15">
      <c r="D676">
        <f>ROUNDUP(6+F676/2,0)</f>
        <v>7</v>
      </c>
      <c r="E676" t="s">
        <v>6</v>
      </c>
      <c r="F676" s="6">
        <f>LEN(G676)</f>
        <v>1</v>
      </c>
      <c r="G676" s="6" t="s">
        <v>42</v>
      </c>
      <c r="H676" s="6">
        <f>H673-30</f>
        <v>44</v>
      </c>
      <c r="I676" s="6">
        <f>G673-15</f>
        <v>111</v>
      </c>
    </row>
    <row r="677" spans="1:15">
      <c r="D677">
        <f>ROUNDUP(6+F677/2,0)</f>
        <v>7</v>
      </c>
      <c r="E677" t="s">
        <v>6</v>
      </c>
      <c r="F677" s="6">
        <f>LEN(G677)</f>
        <v>1</v>
      </c>
      <c r="G677" s="6" t="s">
        <v>43</v>
      </c>
      <c r="H677" s="6">
        <f>H674-20</f>
        <v>234</v>
      </c>
      <c r="I677" s="6">
        <f>G674+5</f>
        <v>341</v>
      </c>
    </row>
    <row r="678" spans="1:15">
      <c r="D678">
        <f>ROUNDUP(6+F678/2,0)</f>
        <v>8</v>
      </c>
      <c r="E678" t="s">
        <v>6</v>
      </c>
      <c r="F678" s="6">
        <f>LEN(G678)</f>
        <v>3</v>
      </c>
      <c r="G678" s="32" t="s">
        <v>80</v>
      </c>
      <c r="H678" s="6">
        <f>H675-35</f>
        <v>265</v>
      </c>
      <c r="I678" s="6">
        <f>G675-15</f>
        <v>195</v>
      </c>
    </row>
    <row r="679" spans="1:15">
      <c r="D679">
        <v>28</v>
      </c>
      <c r="E679" t="s">
        <v>12</v>
      </c>
      <c r="F679" s="6">
        <v>36</v>
      </c>
      <c r="G679" s="6">
        <v>0</v>
      </c>
      <c r="H679" s="6">
        <v>0</v>
      </c>
      <c r="I679" s="6">
        <v>0</v>
      </c>
      <c r="J679" s="6">
        <v>700</v>
      </c>
      <c r="K679" s="6">
        <v>0</v>
      </c>
      <c r="L679" s="6">
        <v>0</v>
      </c>
      <c r="M679" s="6">
        <v>0</v>
      </c>
      <c r="N679" s="6">
        <v>0</v>
      </c>
      <c r="O679" s="6" t="s">
        <v>19</v>
      </c>
    </row>
    <row r="680" spans="1:15">
      <c r="D680">
        <v>4</v>
      </c>
      <c r="E680" t="s">
        <v>15</v>
      </c>
      <c r="F680" s="6">
        <v>4</v>
      </c>
    </row>
    <row r="681" spans="1:15">
      <c r="D681">
        <f t="shared" ref="D681:D689" si="59">ROUNDUP(6+F681/2,0)</f>
        <v>12</v>
      </c>
      <c r="E681" t="s">
        <v>6</v>
      </c>
      <c r="F681" s="6">
        <f t="shared" ref="F681:F689" si="60">LEN(G681)</f>
        <v>12</v>
      </c>
      <c r="G681" s="6" t="s">
        <v>88</v>
      </c>
      <c r="H681" s="6">
        <v>500</v>
      </c>
      <c r="I681" s="6">
        <v>500</v>
      </c>
    </row>
    <row r="682" spans="1:15">
      <c r="D682">
        <f t="shared" si="59"/>
        <v>9</v>
      </c>
      <c r="E682" t="s">
        <v>6</v>
      </c>
      <c r="F682" s="6">
        <f t="shared" si="60"/>
        <v>5</v>
      </c>
      <c r="G682" s="6" t="s">
        <v>89</v>
      </c>
      <c r="H682" s="6">
        <v>130</v>
      </c>
      <c r="I682" s="6">
        <v>540</v>
      </c>
    </row>
    <row r="683" spans="1:15">
      <c r="D683">
        <f t="shared" si="59"/>
        <v>8</v>
      </c>
      <c r="E683" t="s">
        <v>6</v>
      </c>
      <c r="F683" s="6">
        <f t="shared" si="60"/>
        <v>3</v>
      </c>
      <c r="G683" s="6" t="s">
        <v>67</v>
      </c>
      <c r="H683" s="6">
        <v>170</v>
      </c>
      <c r="I683" s="6">
        <v>900</v>
      </c>
    </row>
    <row r="684" spans="1:15">
      <c r="D684">
        <f t="shared" si="59"/>
        <v>9</v>
      </c>
      <c r="E684" t="s">
        <v>6</v>
      </c>
      <c r="F684" s="6">
        <f t="shared" si="60"/>
        <v>5</v>
      </c>
      <c r="G684" s="6" t="s">
        <v>81</v>
      </c>
      <c r="H684" s="6">
        <v>450</v>
      </c>
      <c r="I684" s="6">
        <v>850</v>
      </c>
    </row>
    <row r="685" spans="1:15">
      <c r="D685">
        <f t="shared" si="59"/>
        <v>8</v>
      </c>
      <c r="E685" t="s">
        <v>6</v>
      </c>
      <c r="F685" s="6">
        <f t="shared" si="60"/>
        <v>3</v>
      </c>
      <c r="G685" s="6" t="s">
        <v>82</v>
      </c>
      <c r="H685" s="6">
        <v>800</v>
      </c>
      <c r="I685" s="6">
        <v>850</v>
      </c>
    </row>
    <row r="686" spans="1:15">
      <c r="D686">
        <f t="shared" si="59"/>
        <v>9</v>
      </c>
      <c r="E686" t="s">
        <v>6</v>
      </c>
      <c r="F686" s="6">
        <f t="shared" si="60"/>
        <v>5</v>
      </c>
      <c r="G686" s="6" t="s">
        <v>90</v>
      </c>
      <c r="H686" s="6">
        <v>970</v>
      </c>
      <c r="I686" s="6">
        <v>450</v>
      </c>
    </row>
    <row r="687" spans="1:15">
      <c r="D687">
        <f t="shared" si="59"/>
        <v>8</v>
      </c>
      <c r="E687" t="s">
        <v>6</v>
      </c>
      <c r="F687" s="6">
        <f t="shared" si="60"/>
        <v>3</v>
      </c>
      <c r="G687" s="6" t="s">
        <v>68</v>
      </c>
      <c r="H687" s="6">
        <v>800</v>
      </c>
      <c r="I687" s="6">
        <v>150</v>
      </c>
    </row>
    <row r="688" spans="1:15">
      <c r="D688">
        <f t="shared" si="59"/>
        <v>8</v>
      </c>
      <c r="E688" t="s">
        <v>6</v>
      </c>
      <c r="F688" s="6">
        <f t="shared" si="60"/>
        <v>4</v>
      </c>
      <c r="G688" s="6" t="s">
        <v>83</v>
      </c>
      <c r="H688" s="6">
        <v>460</v>
      </c>
      <c r="I688" s="6">
        <v>100</v>
      </c>
    </row>
    <row r="689" spans="1:15">
      <c r="D689">
        <f t="shared" si="59"/>
        <v>9</v>
      </c>
      <c r="E689" t="s">
        <v>6</v>
      </c>
      <c r="F689" s="6">
        <f t="shared" si="60"/>
        <v>5</v>
      </c>
      <c r="G689" s="6" t="s">
        <v>84</v>
      </c>
      <c r="H689" s="6">
        <v>80</v>
      </c>
      <c r="I689" s="6">
        <v>200</v>
      </c>
    </row>
    <row r="692" spans="1:15">
      <c r="A692" s="48" t="s">
        <v>383</v>
      </c>
      <c r="B692" s="1" t="s">
        <v>86</v>
      </c>
      <c r="D692" t="s">
        <v>449</v>
      </c>
      <c r="E692">
        <v>52695</v>
      </c>
      <c r="F692" s="6">
        <v>39622</v>
      </c>
      <c r="G692" s="6">
        <v>0</v>
      </c>
      <c r="H692" s="6">
        <v>0</v>
      </c>
      <c r="I692" s="6">
        <v>0</v>
      </c>
      <c r="J692" s="6">
        <v>384</v>
      </c>
      <c r="K692" s="6">
        <v>426</v>
      </c>
      <c r="L692" s="6">
        <v>144</v>
      </c>
      <c r="M692" s="6">
        <v>0</v>
      </c>
      <c r="N692" s="6">
        <v>0</v>
      </c>
      <c r="O692" s="6" t="e">
        <f ca="1">checksummeint(G692,H692,I692,J692,K692,L692,M692,N692)</f>
        <v>#NAME?</v>
      </c>
    </row>
    <row r="693" spans="1:15">
      <c r="D693">
        <v>28</v>
      </c>
      <c r="E693" t="s">
        <v>12</v>
      </c>
      <c r="F693" s="6">
        <v>27</v>
      </c>
      <c r="G693" s="6">
        <v>0</v>
      </c>
      <c r="H693" s="6">
        <v>0</v>
      </c>
      <c r="I693" s="6">
        <v>0</v>
      </c>
      <c r="J693" s="6">
        <v>400</v>
      </c>
      <c r="K693" s="6">
        <v>0</v>
      </c>
      <c r="L693" s="6">
        <v>0</v>
      </c>
      <c r="M693" s="6">
        <v>0</v>
      </c>
      <c r="N693" s="6">
        <v>0</v>
      </c>
      <c r="O693" s="6" t="s">
        <v>19</v>
      </c>
    </row>
    <row r="694" spans="1:15">
      <c r="D694">
        <v>8</v>
      </c>
      <c r="E694" t="s">
        <v>14</v>
      </c>
      <c r="F694" s="6">
        <v>0</v>
      </c>
      <c r="G694" s="6">
        <v>2</v>
      </c>
      <c r="H694" s="6">
        <v>0</v>
      </c>
      <c r="I694" s="6">
        <v>0</v>
      </c>
      <c r="J694" s="6">
        <v>0</v>
      </c>
    </row>
    <row r="695" spans="1:15">
      <c r="D695">
        <v>8</v>
      </c>
      <c r="E695" t="s">
        <v>14</v>
      </c>
      <c r="F695" s="6">
        <v>0</v>
      </c>
      <c r="G695" s="6">
        <v>1</v>
      </c>
      <c r="H695" s="6">
        <v>0</v>
      </c>
      <c r="I695" s="6">
        <f>127*256+128</f>
        <v>32640</v>
      </c>
      <c r="J695" s="6">
        <v>127</v>
      </c>
    </row>
    <row r="696" spans="1:15">
      <c r="A696" t="s">
        <v>85</v>
      </c>
      <c r="D696">
        <v>7</v>
      </c>
      <c r="E696" t="s">
        <v>11</v>
      </c>
      <c r="F696" s="6">
        <v>0</v>
      </c>
      <c r="G696" s="6">
        <v>0</v>
      </c>
      <c r="H696" s="6">
        <v>0</v>
      </c>
      <c r="I696" s="6">
        <v>0</v>
      </c>
    </row>
    <row r="697" spans="1:15">
      <c r="A697">
        <v>210</v>
      </c>
      <c r="B697">
        <v>-70</v>
      </c>
      <c r="D697">
        <v>4</v>
      </c>
      <c r="E697" t="s">
        <v>15</v>
      </c>
      <c r="F697" s="6">
        <v>0</v>
      </c>
    </row>
    <row r="698" spans="1:15">
      <c r="A698">
        <v>0</v>
      </c>
      <c r="B698">
        <v>-250</v>
      </c>
      <c r="D698">
        <v>4</v>
      </c>
      <c r="E698" t="s">
        <v>15</v>
      </c>
      <c r="F698" s="6">
        <v>1</v>
      </c>
    </row>
    <row r="699" spans="1:15">
      <c r="A699">
        <v>-144</v>
      </c>
      <c r="B699">
        <f>A699*2/3</f>
        <v>-96</v>
      </c>
      <c r="D699">
        <v>4</v>
      </c>
      <c r="E699" t="s">
        <v>15</v>
      </c>
      <c r="F699" s="6">
        <v>3</v>
      </c>
    </row>
    <row r="700" spans="1:15">
      <c r="A700">
        <v>12</v>
      </c>
      <c r="B700">
        <v>-72</v>
      </c>
      <c r="D700">
        <v>5</v>
      </c>
      <c r="E700" t="s">
        <v>59</v>
      </c>
      <c r="F700" s="6">
        <v>2</v>
      </c>
      <c r="G700" s="6">
        <v>0</v>
      </c>
    </row>
    <row r="701" spans="1:15">
      <c r="D701">
        <f t="shared" ref="D701:D708" si="61">F701*2+4</f>
        <v>8</v>
      </c>
      <c r="E701" t="s">
        <v>1</v>
      </c>
      <c r="F701" s="6">
        <v>2</v>
      </c>
      <c r="G701" s="6">
        <f>I733</f>
        <v>160</v>
      </c>
      <c r="H701" s="6">
        <f>J733</f>
        <v>420</v>
      </c>
      <c r="I701" s="6">
        <f>G701+A697</f>
        <v>370</v>
      </c>
      <c r="J701" s="6">
        <f>H701+B697</f>
        <v>350</v>
      </c>
    </row>
    <row r="702" spans="1:15">
      <c r="D702">
        <f t="shared" si="61"/>
        <v>8</v>
      </c>
      <c r="E702" t="s">
        <v>1</v>
      </c>
      <c r="F702" s="6">
        <v>2</v>
      </c>
      <c r="G702" s="6">
        <f>I733</f>
        <v>160</v>
      </c>
      <c r="H702" s="6">
        <f>J733</f>
        <v>420</v>
      </c>
      <c r="I702" s="6">
        <f>G702+A699</f>
        <v>16</v>
      </c>
      <c r="J702" s="6">
        <f>H702+B699</f>
        <v>324</v>
      </c>
    </row>
    <row r="703" spans="1:15">
      <c r="A703">
        <f>I733</f>
        <v>160</v>
      </c>
      <c r="B703">
        <f>J733</f>
        <v>420</v>
      </c>
      <c r="C703">
        <v>20</v>
      </c>
      <c r="D703">
        <f t="shared" si="61"/>
        <v>10</v>
      </c>
      <c r="E703" t="s">
        <v>4</v>
      </c>
      <c r="F703" s="6">
        <v>3</v>
      </c>
      <c r="G703" s="6">
        <f>K733</f>
        <v>160</v>
      </c>
      <c r="H703" s="6">
        <f>L733</f>
        <v>420</v>
      </c>
      <c r="I703" s="6">
        <f>INT(G703-C703*COS(IF(G703-A703=0,IF(H703&gt;B703,PI()/2,-PI()/2),IF(G703-A703&lt;0,PI(),0)+ATAN((H703-B703)/(G703-A703)))-ATAN(0.5)))</f>
        <v>168</v>
      </c>
      <c r="J703" s="6">
        <f>INT(H703-C703*SIN(IF(G703-A703=0,IF(H703&gt;B703,PI()/2,-PI()/2),IF(G703-A703&lt;0,PI(),0)+ATAN((H703-B703)/(G703-A703)))-ATAN(0.5)))</f>
        <v>437</v>
      </c>
      <c r="K703" s="6">
        <f>INT(G703-C703*COS(IF(G703-A703=0,IF(H703&gt;B703,PI()/2,-PI()/2),IF(G703-A703&lt;0,PI(),0)+ATAN((H703-B703)/(G703-A703)))+ATAN(0.5)))</f>
        <v>151</v>
      </c>
      <c r="L703" s="6">
        <f>INT(H703-C703*SIN(IF(G703-A703=0,IF(H703&gt;B703,PI()/2,-PI()/2),IF(G703-A703&lt;0,PI(),0)+ATAN((H703-B703)/(G703-A703)))+ATAN(0.5)))</f>
        <v>437</v>
      </c>
    </row>
    <row r="704" spans="1:15">
      <c r="A704">
        <f t="shared" ref="A704:B706" si="62">A703</f>
        <v>160</v>
      </c>
      <c r="B704">
        <f t="shared" si="62"/>
        <v>420</v>
      </c>
      <c r="C704">
        <v>20</v>
      </c>
      <c r="D704">
        <f t="shared" si="61"/>
        <v>10</v>
      </c>
      <c r="E704" t="s">
        <v>4</v>
      </c>
      <c r="F704" s="6">
        <v>3</v>
      </c>
      <c r="G704" s="6">
        <f>I701</f>
        <v>370</v>
      </c>
      <c r="H704" s="6">
        <f>J701</f>
        <v>350</v>
      </c>
      <c r="I704" s="6">
        <f>INT(G704-C704*COS(IF(G704-A704=0,IF(H704&gt;B704,PI()/2,-PI()/2),IF(G704-A704&lt;0,PI(),0)+ATAN((H704-B704)/(G704-A704)))-ATAN(0.5)))</f>
        <v>355</v>
      </c>
      <c r="J704" s="6">
        <f>INT(H704-C704*SIN(IF(G704-A704=0,IF(H704&gt;B704,PI()/2,-PI()/2),IF(G704-A704&lt;0,PI(),0)+ATAN((H704-B704)/(G704-A704)))-ATAN(0.5)))</f>
        <v>364</v>
      </c>
      <c r="K704" s="6">
        <f>INT(G704-C704*COS(IF(G704-A704=0,IF(H704&gt;B704,PI()/2,-PI()/2),IF(G704-A704&lt;0,PI(),0)+ATAN((H704-B704)/(G704-A704)))+ATAN(0.5)))</f>
        <v>350</v>
      </c>
      <c r="L704" s="6">
        <f>INT(H704-C704*SIN(IF(G704-A704=0,IF(H704&gt;B704,PI()/2,-PI()/2),IF(G704-A704&lt;0,PI(),0)+ATAN((H704-B704)/(G704-A704)))+ATAN(0.5)))</f>
        <v>347</v>
      </c>
    </row>
    <row r="705" spans="1:12">
      <c r="A705">
        <f t="shared" si="62"/>
        <v>160</v>
      </c>
      <c r="B705">
        <f t="shared" si="62"/>
        <v>420</v>
      </c>
      <c r="C705">
        <v>20</v>
      </c>
      <c r="D705">
        <f t="shared" si="61"/>
        <v>10</v>
      </c>
      <c r="E705" t="s">
        <v>4</v>
      </c>
      <c r="F705" s="6">
        <v>3</v>
      </c>
      <c r="G705" s="6">
        <f>G733</f>
        <v>160</v>
      </c>
      <c r="H705" s="6">
        <f>H733</f>
        <v>170</v>
      </c>
      <c r="I705" s="6">
        <f>INT(G705-C705*COS(IF(G705-A705=0,IF(H705&gt;B705,PI()/2,-PI()/2),IF(G705-A705&lt;0,PI(),0)+ATAN((H705-B705)/(G705-A705)))-ATAN(0.5)))</f>
        <v>168</v>
      </c>
      <c r="J705" s="6">
        <f>INT(H705-C705*SIN(IF(G705-A705=0,IF(H705&gt;B705,PI()/2,-PI()/2),IF(G705-A705&lt;0,PI(),0)+ATAN((H705-B705)/(G705-A705)))-ATAN(0.5)))</f>
        <v>187</v>
      </c>
      <c r="K705" s="6">
        <f>INT(G705-C705*COS(IF(G705-A705=0,IF(H705&gt;B705,PI()/2,-PI()/2),IF(G705-A705&lt;0,PI(),0)+ATAN((H705-B705)/(G705-A705)))+ATAN(0.5)))</f>
        <v>151</v>
      </c>
      <c r="L705" s="6">
        <f>INT(H705-C705*SIN(IF(G705-A705=0,IF(H705&gt;B705,PI()/2,-PI()/2),IF(G705-A705&lt;0,PI(),0)+ATAN((H705-B705)/(G705-A705)))+ATAN(0.5)))</f>
        <v>187</v>
      </c>
    </row>
    <row r="706" spans="1:12">
      <c r="A706">
        <f t="shared" si="62"/>
        <v>160</v>
      </c>
      <c r="B706">
        <f t="shared" si="62"/>
        <v>420</v>
      </c>
      <c r="C706">
        <v>20</v>
      </c>
      <c r="D706">
        <f t="shared" si="61"/>
        <v>10</v>
      </c>
      <c r="E706" t="s">
        <v>4</v>
      </c>
      <c r="F706" s="6">
        <v>3</v>
      </c>
      <c r="G706" s="6">
        <f>I702</f>
        <v>16</v>
      </c>
      <c r="H706" s="6">
        <f>J702</f>
        <v>324</v>
      </c>
      <c r="I706" s="6">
        <f>INT(G706-C706*COS(IF(G706-A706=0,IF(H706&gt;B706,PI()/2,-PI()/2),IF(G706-A706&lt;0,PI(),0)+ATAN((H706-B706)/(G706-A706)))-ATAN(0.5)))</f>
        <v>35</v>
      </c>
      <c r="J706" s="6">
        <f>INT(H706-C706*SIN(IF(G706-A706=0,IF(H706&gt;B706,PI()/2,-PI()/2),IF(G706-A706&lt;0,PI(),0)+ATAN((H706-B706)/(G706-A706)))-ATAN(0.5)))</f>
        <v>326</v>
      </c>
      <c r="K706" s="6">
        <f>INT(G706-C706*COS(IF(G706-A706=0,IF(H706&gt;B706,PI()/2,-PI()/2),IF(G706-A706&lt;0,PI(),0)+ATAN((H706-B706)/(G706-A706)))+ATAN(0.5)))</f>
        <v>25</v>
      </c>
      <c r="L706" s="6">
        <f>INT(H706-C706*SIN(IF(G706-A706=0,IF(H706&gt;B706,PI()/2,-PI()/2),IF(G706-A706&lt;0,PI(),0)+ATAN((H706-B706)/(G706-A706)))+ATAN(0.5)))</f>
        <v>341</v>
      </c>
    </row>
    <row r="707" spans="1:12">
      <c r="D707">
        <f t="shared" si="61"/>
        <v>8</v>
      </c>
      <c r="E707" t="s">
        <v>1</v>
      </c>
      <c r="F707" s="6">
        <v>2</v>
      </c>
      <c r="G707" s="6">
        <f>I701</f>
        <v>370</v>
      </c>
      <c r="H707" s="6">
        <f>J701</f>
        <v>350</v>
      </c>
      <c r="I707" s="6">
        <f>G707+$A$33</f>
        <v>370</v>
      </c>
      <c r="J707" s="6">
        <f>H707+$B$33</f>
        <v>350</v>
      </c>
    </row>
    <row r="708" spans="1:12">
      <c r="D708">
        <f t="shared" si="61"/>
        <v>8</v>
      </c>
      <c r="E708" t="s">
        <v>1</v>
      </c>
      <c r="F708" s="6">
        <v>2</v>
      </c>
      <c r="G708" s="6">
        <f>G707</f>
        <v>370</v>
      </c>
      <c r="H708" s="6">
        <f>H707</f>
        <v>350</v>
      </c>
      <c r="I708" s="6">
        <f>G708+A698</f>
        <v>370</v>
      </c>
      <c r="J708" s="6">
        <f>H708+B698</f>
        <v>100</v>
      </c>
    </row>
    <row r="709" spans="1:12">
      <c r="D709">
        <v>4</v>
      </c>
      <c r="E709" t="s">
        <v>15</v>
      </c>
      <c r="F709" s="6">
        <v>2</v>
      </c>
    </row>
    <row r="710" spans="1:12">
      <c r="D710">
        <f>F710*2+4</f>
        <v>8</v>
      </c>
      <c r="E710" t="s">
        <v>1</v>
      </c>
      <c r="F710" s="6">
        <v>2</v>
      </c>
      <c r="G710" s="6">
        <f>G733</f>
        <v>160</v>
      </c>
      <c r="H710" s="6">
        <f>H733</f>
        <v>170</v>
      </c>
      <c r="I710" s="6">
        <f>G710+$A$33</f>
        <v>160</v>
      </c>
      <c r="J710" s="6">
        <f>H710+$B$33</f>
        <v>170</v>
      </c>
    </row>
    <row r="711" spans="1:12">
      <c r="D711">
        <f>F711*2+4</f>
        <v>8</v>
      </c>
      <c r="E711" t="s">
        <v>1</v>
      </c>
      <c r="F711" s="6">
        <v>2</v>
      </c>
      <c r="G711" s="6">
        <f>K733</f>
        <v>160</v>
      </c>
      <c r="H711" s="6">
        <f>L733</f>
        <v>420</v>
      </c>
      <c r="I711" s="6">
        <f>G711+A698</f>
        <v>160</v>
      </c>
      <c r="J711" s="6">
        <f>H711+B698</f>
        <v>170</v>
      </c>
    </row>
    <row r="712" spans="1:12">
      <c r="D712">
        <f>F712*2+4</f>
        <v>8</v>
      </c>
      <c r="E712" t="s">
        <v>1</v>
      </c>
      <c r="F712" s="6">
        <v>2</v>
      </c>
      <c r="G712" s="6">
        <f>I711</f>
        <v>160</v>
      </c>
      <c r="H712" s="6">
        <f>J711</f>
        <v>170</v>
      </c>
      <c r="I712" s="6">
        <f>G712+A697</f>
        <v>370</v>
      </c>
      <c r="J712" s="6">
        <f>H712+B697</f>
        <v>100</v>
      </c>
    </row>
    <row r="713" spans="1:12">
      <c r="D713">
        <v>4</v>
      </c>
      <c r="E713" t="s">
        <v>15</v>
      </c>
      <c r="F713" s="6">
        <v>1</v>
      </c>
    </row>
    <row r="714" spans="1:12">
      <c r="D714">
        <f>F714*2+4</f>
        <v>8</v>
      </c>
      <c r="E714" t="s">
        <v>1</v>
      </c>
      <c r="F714" s="6">
        <v>2</v>
      </c>
      <c r="G714" s="6">
        <f>I734</f>
        <v>16</v>
      </c>
      <c r="H714" s="6">
        <f>J734</f>
        <v>324</v>
      </c>
      <c r="I714" s="6">
        <f>G714+A697/2</f>
        <v>121</v>
      </c>
      <c r="J714" s="6">
        <f>H714+B697/2</f>
        <v>289</v>
      </c>
    </row>
    <row r="715" spans="1:12">
      <c r="D715">
        <f>F715*2+4</f>
        <v>8</v>
      </c>
      <c r="E715" t="s">
        <v>1</v>
      </c>
      <c r="F715" s="6">
        <v>2</v>
      </c>
      <c r="G715" s="6">
        <f>I714</f>
        <v>121</v>
      </c>
      <c r="H715" s="6">
        <f>J714</f>
        <v>289</v>
      </c>
      <c r="I715" s="6">
        <f>G715+$A$33/2</f>
        <v>121</v>
      </c>
      <c r="J715" s="6">
        <f>H715+$B$33/2</f>
        <v>289</v>
      </c>
    </row>
    <row r="716" spans="1:12">
      <c r="D716">
        <f>F716*2+4</f>
        <v>8</v>
      </c>
      <c r="E716" t="s">
        <v>1</v>
      </c>
      <c r="F716" s="6">
        <v>2</v>
      </c>
      <c r="G716" s="6">
        <f>G715</f>
        <v>121</v>
      </c>
      <c r="H716" s="6">
        <f>H715</f>
        <v>289</v>
      </c>
      <c r="I716" s="6">
        <f>G716+A698/2</f>
        <v>121</v>
      </c>
      <c r="J716" s="6">
        <f>H716+B698/2</f>
        <v>164</v>
      </c>
    </row>
    <row r="717" spans="1:12">
      <c r="D717">
        <v>4</v>
      </c>
      <c r="E717" t="s">
        <v>15</v>
      </c>
      <c r="F717" s="6">
        <v>2</v>
      </c>
    </row>
    <row r="718" spans="1:12">
      <c r="D718">
        <f>F718*2+4</f>
        <v>8</v>
      </c>
      <c r="E718" t="s">
        <v>1</v>
      </c>
      <c r="F718" s="6">
        <v>2</v>
      </c>
      <c r="G718" s="6">
        <f>G734</f>
        <v>16</v>
      </c>
      <c r="H718" s="6">
        <f>H734</f>
        <v>199</v>
      </c>
      <c r="I718" s="6">
        <f>G718+$A$33/2</f>
        <v>16</v>
      </c>
      <c r="J718" s="6">
        <f>H718+$B$33/2</f>
        <v>199</v>
      </c>
    </row>
    <row r="719" spans="1:12">
      <c r="D719">
        <f>F719*2+4</f>
        <v>8</v>
      </c>
      <c r="E719" t="s">
        <v>1</v>
      </c>
      <c r="F719" s="6">
        <v>2</v>
      </c>
      <c r="G719" s="6">
        <f>K734</f>
        <v>16</v>
      </c>
      <c r="H719" s="6">
        <f>L734</f>
        <v>324</v>
      </c>
      <c r="I719" s="6">
        <f>G719+A698/2</f>
        <v>16</v>
      </c>
      <c r="J719" s="6">
        <f>H719+B698/2</f>
        <v>199</v>
      </c>
    </row>
    <row r="720" spans="1:12">
      <c r="D720">
        <f>F720*2+4</f>
        <v>8</v>
      </c>
      <c r="E720" t="s">
        <v>1</v>
      </c>
      <c r="F720" s="6">
        <v>2</v>
      </c>
      <c r="G720" s="6">
        <f>I719</f>
        <v>16</v>
      </c>
      <c r="H720" s="6">
        <f>J719</f>
        <v>199</v>
      </c>
      <c r="I720" s="6">
        <f>G720+A697/2</f>
        <v>121</v>
      </c>
      <c r="J720" s="6">
        <f>H720+B697/2</f>
        <v>164</v>
      </c>
    </row>
    <row r="721" spans="4:18">
      <c r="D721">
        <f>F721*2+4</f>
        <v>8</v>
      </c>
      <c r="E721" t="s">
        <v>1</v>
      </c>
      <c r="F721" s="6">
        <v>2</v>
      </c>
      <c r="G721" s="6">
        <f>I711</f>
        <v>160</v>
      </c>
      <c r="H721" s="6">
        <f>J711</f>
        <v>170</v>
      </c>
      <c r="I721" s="6">
        <f>I719</f>
        <v>16</v>
      </c>
      <c r="J721" s="6">
        <f>J719</f>
        <v>199</v>
      </c>
    </row>
    <row r="722" spans="4:18">
      <c r="D722">
        <v>4</v>
      </c>
      <c r="E722" t="s">
        <v>15</v>
      </c>
      <c r="F722" s="6">
        <v>1</v>
      </c>
    </row>
    <row r="723" spans="4:18">
      <c r="D723">
        <f t="shared" ref="D723:D728" si="63">F723*2+4</f>
        <v>8</v>
      </c>
      <c r="E723" t="s">
        <v>1</v>
      </c>
      <c r="F723" s="6">
        <v>2</v>
      </c>
      <c r="G723" s="6">
        <f>K733</f>
        <v>160</v>
      </c>
      <c r="H723" s="6">
        <f>L733</f>
        <v>420</v>
      </c>
      <c r="I723" s="6">
        <f>K734</f>
        <v>16</v>
      </c>
      <c r="J723" s="6">
        <f>L734</f>
        <v>324</v>
      </c>
    </row>
    <row r="724" spans="4:18">
      <c r="D724">
        <f t="shared" si="63"/>
        <v>8</v>
      </c>
      <c r="E724" t="s">
        <v>1</v>
      </c>
      <c r="F724" s="6">
        <v>2</v>
      </c>
      <c r="G724" s="6">
        <f>G733</f>
        <v>160</v>
      </c>
      <c r="H724" s="6">
        <f>H733</f>
        <v>170</v>
      </c>
      <c r="I724" s="6">
        <f>G734</f>
        <v>16</v>
      </c>
      <c r="J724" s="6">
        <f>H734</f>
        <v>199</v>
      </c>
    </row>
    <row r="725" spans="4:18">
      <c r="D725">
        <f t="shared" si="63"/>
        <v>8</v>
      </c>
      <c r="E725" t="s">
        <v>1</v>
      </c>
      <c r="F725" s="6">
        <v>2</v>
      </c>
      <c r="G725" s="6">
        <f>I701</f>
        <v>370</v>
      </c>
      <c r="H725" s="6">
        <f>J701</f>
        <v>350</v>
      </c>
      <c r="I725" s="6">
        <f>I714</f>
        <v>121</v>
      </c>
      <c r="J725" s="6">
        <f>J714</f>
        <v>289</v>
      </c>
    </row>
    <row r="726" spans="4:18">
      <c r="D726">
        <f t="shared" si="63"/>
        <v>8</v>
      </c>
      <c r="E726" t="s">
        <v>1</v>
      </c>
      <c r="F726" s="6">
        <v>2</v>
      </c>
      <c r="G726" s="6">
        <f>M733</f>
        <v>370</v>
      </c>
      <c r="H726" s="6">
        <f>N733</f>
        <v>350</v>
      </c>
      <c r="I726" s="6">
        <f>M734</f>
        <v>121</v>
      </c>
      <c r="J726" s="6">
        <f>N734</f>
        <v>289</v>
      </c>
    </row>
    <row r="727" spans="4:18">
      <c r="D727">
        <f t="shared" si="63"/>
        <v>8</v>
      </c>
      <c r="E727" t="s">
        <v>1</v>
      </c>
      <c r="F727" s="6">
        <v>2</v>
      </c>
      <c r="G727" s="6">
        <f>O733</f>
        <v>370</v>
      </c>
      <c r="H727" s="6">
        <f>P733</f>
        <v>100</v>
      </c>
      <c r="I727" s="6">
        <f>O734</f>
        <v>121</v>
      </c>
      <c r="J727" s="6">
        <f>P734</f>
        <v>164</v>
      </c>
    </row>
    <row r="728" spans="4:18">
      <c r="D728">
        <f t="shared" si="63"/>
        <v>8</v>
      </c>
      <c r="E728" t="s">
        <v>1</v>
      </c>
      <c r="F728" s="6">
        <v>2</v>
      </c>
      <c r="G728" s="6">
        <f>Q733</f>
        <v>370</v>
      </c>
      <c r="H728" s="6">
        <f>R733</f>
        <v>100</v>
      </c>
      <c r="I728" s="6">
        <f>Q734</f>
        <v>121</v>
      </c>
      <c r="J728" s="6">
        <f>R734</f>
        <v>164</v>
      </c>
    </row>
    <row r="729" spans="4:18">
      <c r="D729">
        <v>8</v>
      </c>
      <c r="E729" t="s">
        <v>14</v>
      </c>
      <c r="F729" s="6">
        <v>0</v>
      </c>
      <c r="G729" s="6">
        <v>3</v>
      </c>
      <c r="H729" s="6">
        <v>0</v>
      </c>
      <c r="I729" s="6">
        <v>0</v>
      </c>
      <c r="J729" s="6">
        <v>0</v>
      </c>
    </row>
    <row r="730" spans="4:18">
      <c r="D730">
        <v>4</v>
      </c>
      <c r="E730" t="s">
        <v>15</v>
      </c>
      <c r="F730" s="6">
        <v>4</v>
      </c>
    </row>
    <row r="731" spans="4:18">
      <c r="D731">
        <v>7</v>
      </c>
      <c r="E731" t="s">
        <v>11</v>
      </c>
      <c r="F731" s="6">
        <v>1</v>
      </c>
      <c r="G731" s="6">
        <v>0</v>
      </c>
      <c r="H731" s="6">
        <v>0</v>
      </c>
      <c r="I731" s="6">
        <v>0</v>
      </c>
    </row>
    <row r="732" spans="4:18">
      <c r="D732">
        <v>4</v>
      </c>
      <c r="E732" t="s">
        <v>15</v>
      </c>
      <c r="F732" s="6">
        <v>5</v>
      </c>
    </row>
    <row r="733" spans="4:18">
      <c r="D733">
        <f>F733*2+4</f>
        <v>16</v>
      </c>
      <c r="E733" t="s">
        <v>4</v>
      </c>
      <c r="F733" s="6">
        <v>6</v>
      </c>
      <c r="G733" s="6">
        <f>I733+A698</f>
        <v>160</v>
      </c>
      <c r="H733" s="6">
        <f>J733+B698</f>
        <v>170</v>
      </c>
      <c r="I733" s="6">
        <v>160</v>
      </c>
      <c r="J733" s="6">
        <v>420</v>
      </c>
      <c r="K733" s="6">
        <f>I733+$A$33</f>
        <v>160</v>
      </c>
      <c r="L733" s="6">
        <f>J733+$B$33</f>
        <v>420</v>
      </c>
      <c r="M733" s="6">
        <f>K733+A697</f>
        <v>370</v>
      </c>
      <c r="N733" s="6">
        <f>L733+B697</f>
        <v>350</v>
      </c>
      <c r="O733" s="6">
        <f>M733+A698</f>
        <v>370</v>
      </c>
      <c r="P733">
        <f>N733+B698</f>
        <v>100</v>
      </c>
      <c r="Q733">
        <f>G733+A697</f>
        <v>370</v>
      </c>
      <c r="R733">
        <f>H733+B697</f>
        <v>100</v>
      </c>
    </row>
    <row r="734" spans="4:18">
      <c r="D734">
        <f>F734*2+4</f>
        <v>16</v>
      </c>
      <c r="E734" t="s">
        <v>4</v>
      </c>
      <c r="F734" s="6">
        <v>6</v>
      </c>
      <c r="G734" s="6">
        <f>I734+A698/2</f>
        <v>16</v>
      </c>
      <c r="H734" s="6">
        <f>J734+B698/2</f>
        <v>199</v>
      </c>
      <c r="I734" s="6">
        <f>I702</f>
        <v>16</v>
      </c>
      <c r="J734" s="6">
        <f>J702</f>
        <v>324</v>
      </c>
      <c r="K734" s="6">
        <f>I734+$A$33/2</f>
        <v>16</v>
      </c>
      <c r="L734" s="6">
        <f>J734+$B$33/2</f>
        <v>324</v>
      </c>
      <c r="M734" s="6">
        <f>K734+A697/2</f>
        <v>121</v>
      </c>
      <c r="N734" s="6">
        <f>L734+B697/2</f>
        <v>289</v>
      </c>
      <c r="O734" s="6">
        <f>M734+A698/2</f>
        <v>121</v>
      </c>
      <c r="P734">
        <f>N734+B698/2</f>
        <v>164</v>
      </c>
      <c r="Q734">
        <f>G734+A697/2</f>
        <v>121</v>
      </c>
      <c r="R734">
        <f>H734+B697/2</f>
        <v>164</v>
      </c>
    </row>
    <row r="735" spans="4:18">
      <c r="D735">
        <v>4</v>
      </c>
      <c r="E735" t="s">
        <v>15</v>
      </c>
      <c r="F735" s="6">
        <v>2</v>
      </c>
    </row>
    <row r="736" spans="4:18">
      <c r="D736">
        <f>F736*2+4</f>
        <v>16</v>
      </c>
      <c r="E736" t="s">
        <v>4</v>
      </c>
      <c r="F736" s="6">
        <v>6</v>
      </c>
      <c r="G736" s="6">
        <f t="shared" ref="G736:R736" si="64">5*G733/6+1*G734/6</f>
        <v>136</v>
      </c>
      <c r="H736" s="6">
        <f t="shared" si="64"/>
        <v>174.83333333333331</v>
      </c>
      <c r="I736" s="6">
        <f t="shared" si="64"/>
        <v>136</v>
      </c>
      <c r="J736" s="6">
        <f t="shared" si="64"/>
        <v>404</v>
      </c>
      <c r="K736" s="6">
        <f t="shared" si="64"/>
        <v>136</v>
      </c>
      <c r="L736" s="6">
        <f t="shared" si="64"/>
        <v>404</v>
      </c>
      <c r="M736" s="6">
        <f t="shared" si="64"/>
        <v>328.5</v>
      </c>
      <c r="N736" s="6">
        <f t="shared" si="64"/>
        <v>339.83333333333337</v>
      </c>
      <c r="O736" s="6">
        <f t="shared" si="64"/>
        <v>328.5</v>
      </c>
      <c r="P736">
        <f t="shared" si="64"/>
        <v>110.66666666666666</v>
      </c>
      <c r="Q736">
        <f t="shared" si="64"/>
        <v>328.5</v>
      </c>
      <c r="R736">
        <f t="shared" si="64"/>
        <v>110.66666666666666</v>
      </c>
    </row>
    <row r="737" spans="1:18">
      <c r="D737">
        <f>F737*2+4</f>
        <v>16</v>
      </c>
      <c r="E737" t="s">
        <v>4</v>
      </c>
      <c r="F737" s="6">
        <v>6</v>
      </c>
      <c r="G737" s="6">
        <f t="shared" ref="G737:R737" si="65">4*G733/6+2*G734/6</f>
        <v>112</v>
      </c>
      <c r="H737" s="6">
        <f t="shared" si="65"/>
        <v>179.66666666666666</v>
      </c>
      <c r="I737" s="6">
        <f t="shared" si="65"/>
        <v>112</v>
      </c>
      <c r="J737" s="6">
        <f t="shared" si="65"/>
        <v>388</v>
      </c>
      <c r="K737" s="6">
        <f t="shared" si="65"/>
        <v>112</v>
      </c>
      <c r="L737" s="6">
        <f t="shared" si="65"/>
        <v>388</v>
      </c>
      <c r="M737" s="6">
        <f t="shared" si="65"/>
        <v>287</v>
      </c>
      <c r="N737" s="6">
        <f t="shared" si="65"/>
        <v>329.66666666666669</v>
      </c>
      <c r="O737" s="6">
        <f t="shared" si="65"/>
        <v>287</v>
      </c>
      <c r="P737">
        <f t="shared" si="65"/>
        <v>121.33333333333334</v>
      </c>
      <c r="Q737">
        <f t="shared" si="65"/>
        <v>287</v>
      </c>
      <c r="R737">
        <f t="shared" si="65"/>
        <v>121.33333333333334</v>
      </c>
    </row>
    <row r="738" spans="1:18">
      <c r="D738">
        <f>F738*2+4</f>
        <v>16</v>
      </c>
      <c r="E738" t="s">
        <v>4</v>
      </c>
      <c r="F738" s="6">
        <v>6</v>
      </c>
      <c r="G738" s="6">
        <f t="shared" ref="G738:R738" si="66">3*G733/6+3*G734/6</f>
        <v>88</v>
      </c>
      <c r="H738" s="6">
        <f t="shared" si="66"/>
        <v>184.5</v>
      </c>
      <c r="I738" s="6">
        <f t="shared" si="66"/>
        <v>88</v>
      </c>
      <c r="J738" s="6">
        <f t="shared" si="66"/>
        <v>372</v>
      </c>
      <c r="K738" s="6">
        <f t="shared" si="66"/>
        <v>88</v>
      </c>
      <c r="L738" s="6">
        <f t="shared" si="66"/>
        <v>372</v>
      </c>
      <c r="M738" s="6">
        <f t="shared" si="66"/>
        <v>245.5</v>
      </c>
      <c r="N738" s="6">
        <f t="shared" si="66"/>
        <v>319.5</v>
      </c>
      <c r="O738" s="6">
        <f t="shared" si="66"/>
        <v>245.5</v>
      </c>
      <c r="P738">
        <f t="shared" si="66"/>
        <v>132</v>
      </c>
      <c r="Q738">
        <f t="shared" si="66"/>
        <v>245.5</v>
      </c>
      <c r="R738">
        <f t="shared" si="66"/>
        <v>132</v>
      </c>
    </row>
    <row r="739" spans="1:18">
      <c r="D739">
        <f>F739*2+4</f>
        <v>16</v>
      </c>
      <c r="E739" t="s">
        <v>4</v>
      </c>
      <c r="F739" s="6">
        <v>6</v>
      </c>
      <c r="G739" s="6">
        <f t="shared" ref="G739:R739" si="67">2*G733/6+4*G734/6</f>
        <v>64</v>
      </c>
      <c r="H739" s="6">
        <f t="shared" si="67"/>
        <v>189.33333333333331</v>
      </c>
      <c r="I739" s="6">
        <f t="shared" si="67"/>
        <v>64</v>
      </c>
      <c r="J739" s="6">
        <f t="shared" si="67"/>
        <v>356</v>
      </c>
      <c r="K739" s="6">
        <f t="shared" si="67"/>
        <v>64</v>
      </c>
      <c r="L739" s="6">
        <f t="shared" si="67"/>
        <v>356</v>
      </c>
      <c r="M739" s="6">
        <f t="shared" si="67"/>
        <v>204</v>
      </c>
      <c r="N739" s="6">
        <f t="shared" si="67"/>
        <v>309.33333333333331</v>
      </c>
      <c r="O739" s="6">
        <f t="shared" si="67"/>
        <v>204</v>
      </c>
      <c r="P739">
        <f t="shared" si="67"/>
        <v>142.66666666666666</v>
      </c>
      <c r="Q739">
        <f t="shared" si="67"/>
        <v>204</v>
      </c>
      <c r="R739">
        <f t="shared" si="67"/>
        <v>142.66666666666666</v>
      </c>
    </row>
    <row r="740" spans="1:18">
      <c r="D740">
        <f>F740*2+4</f>
        <v>16</v>
      </c>
      <c r="E740" t="s">
        <v>4</v>
      </c>
      <c r="F740" s="6">
        <v>6</v>
      </c>
      <c r="G740" s="6">
        <f t="shared" ref="G740:R740" si="68">1*G733/6+5*G734/6</f>
        <v>40</v>
      </c>
      <c r="H740" s="6">
        <f t="shared" si="68"/>
        <v>194.16666666666669</v>
      </c>
      <c r="I740" s="6">
        <f t="shared" si="68"/>
        <v>40</v>
      </c>
      <c r="J740" s="6">
        <f t="shared" si="68"/>
        <v>340</v>
      </c>
      <c r="K740" s="6">
        <f t="shared" si="68"/>
        <v>40</v>
      </c>
      <c r="L740" s="6">
        <f t="shared" si="68"/>
        <v>340</v>
      </c>
      <c r="M740" s="6">
        <f t="shared" si="68"/>
        <v>162.5</v>
      </c>
      <c r="N740" s="6">
        <f t="shared" si="68"/>
        <v>299.16666666666669</v>
      </c>
      <c r="O740" s="6">
        <f t="shared" si="68"/>
        <v>162.5</v>
      </c>
      <c r="P740">
        <f t="shared" si="68"/>
        <v>153.33333333333331</v>
      </c>
      <c r="Q740">
        <f t="shared" si="68"/>
        <v>162.5</v>
      </c>
      <c r="R740">
        <f t="shared" si="68"/>
        <v>153.33333333333331</v>
      </c>
    </row>
    <row r="741" spans="1:18">
      <c r="D741">
        <f>ROUNDUP(6+F741/2,0)</f>
        <v>8</v>
      </c>
      <c r="E741" t="s">
        <v>6</v>
      </c>
      <c r="F741" s="6">
        <f>LEN(G741)</f>
        <v>3</v>
      </c>
      <c r="G741" s="6" t="s">
        <v>80</v>
      </c>
      <c r="H741" s="6">
        <f>H703-30</f>
        <v>390</v>
      </c>
      <c r="I741" s="6">
        <f>G703-45</f>
        <v>115</v>
      </c>
    </row>
    <row r="742" spans="1:18">
      <c r="D742">
        <f>ROUNDUP(6+F742/2,0)</f>
        <v>7</v>
      </c>
      <c r="E742" t="s">
        <v>6</v>
      </c>
      <c r="F742" s="6">
        <f>LEN(G742)</f>
        <v>1</v>
      </c>
      <c r="G742" s="6" t="s">
        <v>42</v>
      </c>
      <c r="H742" s="6">
        <f>H704-30</f>
        <v>320</v>
      </c>
      <c r="I742" s="6">
        <f>G704-5</f>
        <v>365</v>
      </c>
    </row>
    <row r="743" spans="1:18">
      <c r="D743">
        <f>ROUNDUP(6+F743/2,0)</f>
        <v>7</v>
      </c>
      <c r="E743" t="s">
        <v>6</v>
      </c>
      <c r="F743" s="6">
        <f>LEN(G743)</f>
        <v>1</v>
      </c>
      <c r="G743" s="6" t="s">
        <v>22</v>
      </c>
      <c r="H743" s="6">
        <f>H705-30</f>
        <v>140</v>
      </c>
      <c r="I743" s="6">
        <f>G705-5</f>
        <v>155</v>
      </c>
    </row>
    <row r="744" spans="1:18">
      <c r="D744">
        <f>ROUNDUP(6+F744/2,0)</f>
        <v>7</v>
      </c>
      <c r="E744" t="s">
        <v>6</v>
      </c>
      <c r="F744" s="6">
        <f>LEN(G744)</f>
        <v>1</v>
      </c>
      <c r="G744" s="6" t="s">
        <v>43</v>
      </c>
      <c r="H744" s="6">
        <f>H706-30</f>
        <v>294</v>
      </c>
      <c r="I744" s="6">
        <f>G706-5</f>
        <v>11</v>
      </c>
    </row>
    <row r="747" spans="1:18">
      <c r="A747" s="48" t="s">
        <v>383</v>
      </c>
      <c r="B747" s="1" t="s">
        <v>87</v>
      </c>
      <c r="C747" s="48"/>
      <c r="D747" s="48" t="s">
        <v>449</v>
      </c>
      <c r="E747" s="48">
        <v>52695</v>
      </c>
      <c r="F747" s="6">
        <v>39622</v>
      </c>
      <c r="G747" s="6">
        <v>0</v>
      </c>
      <c r="H747" s="6">
        <v>0</v>
      </c>
      <c r="I747" s="6">
        <v>0</v>
      </c>
      <c r="J747" s="6">
        <v>410</v>
      </c>
      <c r="K747" s="6">
        <v>510</v>
      </c>
      <c r="L747" s="6">
        <v>192</v>
      </c>
      <c r="M747" s="6">
        <v>0</v>
      </c>
      <c r="N747" s="6">
        <v>0</v>
      </c>
      <c r="O747" s="6" t="e">
        <f ca="1">checksummeint(G747,H747,I747,J747,K747,L747,M747,N747)</f>
        <v>#NAME?</v>
      </c>
    </row>
    <row r="748" spans="1:18">
      <c r="A748" s="48"/>
      <c r="B748" s="48"/>
      <c r="C748" s="48"/>
      <c r="D748" s="48">
        <v>28</v>
      </c>
      <c r="E748" s="48" t="s">
        <v>12</v>
      </c>
      <c r="F748" s="6">
        <v>36</v>
      </c>
      <c r="G748" s="6">
        <v>0</v>
      </c>
      <c r="H748" s="6">
        <v>0</v>
      </c>
      <c r="I748" s="6">
        <v>0</v>
      </c>
      <c r="J748" s="6">
        <v>400</v>
      </c>
      <c r="K748" s="6">
        <v>0</v>
      </c>
      <c r="L748" s="6">
        <v>0</v>
      </c>
      <c r="M748" s="6">
        <v>0</v>
      </c>
      <c r="N748" s="6">
        <v>0</v>
      </c>
      <c r="O748" s="6" t="s">
        <v>19</v>
      </c>
    </row>
    <row r="749" spans="1:18">
      <c r="A749" s="48"/>
      <c r="B749" s="48"/>
      <c r="C749" s="48"/>
      <c r="D749" s="48">
        <v>4</v>
      </c>
      <c r="E749" s="48" t="s">
        <v>15</v>
      </c>
      <c r="F749" s="6">
        <v>0</v>
      </c>
    </row>
    <row r="750" spans="1:18">
      <c r="A750" s="48"/>
      <c r="B750" s="48"/>
      <c r="C750" s="48"/>
      <c r="D750" s="48">
        <v>8</v>
      </c>
      <c r="E750" s="48" t="s">
        <v>14</v>
      </c>
      <c r="F750" s="6">
        <v>0</v>
      </c>
      <c r="G750" s="6">
        <v>2</v>
      </c>
      <c r="H750" s="6">
        <v>0</v>
      </c>
      <c r="I750" s="6">
        <v>0</v>
      </c>
      <c r="J750" s="6">
        <v>0</v>
      </c>
    </row>
    <row r="751" spans="1:18">
      <c r="A751" s="48"/>
      <c r="B751" s="48"/>
      <c r="C751" s="48"/>
      <c r="D751" s="48">
        <v>8</v>
      </c>
      <c r="E751" s="48" t="s">
        <v>14</v>
      </c>
      <c r="F751" s="6">
        <v>0</v>
      </c>
      <c r="G751" s="6">
        <v>1</v>
      </c>
      <c r="H751" s="6">
        <v>0</v>
      </c>
      <c r="I751" s="6">
        <f>127*256+128</f>
        <v>32640</v>
      </c>
      <c r="J751" s="6">
        <v>127</v>
      </c>
    </row>
    <row r="752" spans="1:18">
      <c r="A752" s="48"/>
      <c r="B752" s="48"/>
      <c r="C752" s="48"/>
      <c r="D752" s="48">
        <v>4</v>
      </c>
      <c r="E752" s="48" t="s">
        <v>15</v>
      </c>
      <c r="F752" s="6">
        <v>1</v>
      </c>
    </row>
    <row r="753" spans="1:14">
      <c r="A753" s="48"/>
      <c r="B753" s="48"/>
      <c r="C753" s="48"/>
      <c r="D753" s="48">
        <v>7</v>
      </c>
      <c r="E753" s="48" t="s">
        <v>11</v>
      </c>
      <c r="F753" s="6">
        <v>0</v>
      </c>
      <c r="G753" s="6">
        <v>0</v>
      </c>
      <c r="H753" s="6">
        <v>0</v>
      </c>
      <c r="I753" s="6">
        <v>0</v>
      </c>
    </row>
    <row r="754" spans="1:14">
      <c r="A754" s="48"/>
      <c r="B754" s="48"/>
      <c r="C754" s="48"/>
      <c r="D754" s="48">
        <v>4</v>
      </c>
      <c r="E754" s="48" t="s">
        <v>15</v>
      </c>
      <c r="F754" s="6">
        <v>3</v>
      </c>
    </row>
    <row r="755" spans="1:14">
      <c r="A755" s="48"/>
      <c r="B755" s="48"/>
      <c r="C755" s="48"/>
      <c r="D755" s="48">
        <v>5</v>
      </c>
      <c r="E755" s="48" t="s">
        <v>59</v>
      </c>
      <c r="F755" s="6">
        <v>1</v>
      </c>
      <c r="G755" s="6">
        <v>0</v>
      </c>
    </row>
    <row r="756" spans="1:14">
      <c r="A756" s="48"/>
      <c r="B756" s="48"/>
      <c r="C756" s="48"/>
      <c r="D756" s="48">
        <f>F756*2+4</f>
        <v>12</v>
      </c>
      <c r="E756" s="48" t="s">
        <v>1</v>
      </c>
      <c r="F756" s="6">
        <v>4</v>
      </c>
      <c r="G756" s="6">
        <v>180</v>
      </c>
      <c r="H756" s="6">
        <v>500</v>
      </c>
      <c r="I756" s="6">
        <f>G756+200</f>
        <v>380</v>
      </c>
      <c r="J756" s="6">
        <f>H756-100</f>
        <v>400</v>
      </c>
      <c r="K756" s="6">
        <f>I756+0</f>
        <v>380</v>
      </c>
      <c r="L756" s="6">
        <f>J756-250</f>
        <v>150</v>
      </c>
      <c r="M756" s="6">
        <f>K756-150</f>
        <v>230</v>
      </c>
      <c r="N756" s="6">
        <f>L756-150</f>
        <v>0</v>
      </c>
    </row>
    <row r="757" spans="1:14">
      <c r="A757" s="48"/>
      <c r="B757" s="48"/>
      <c r="C757" s="48"/>
      <c r="D757" s="48">
        <f>F757*2+4</f>
        <v>10</v>
      </c>
      <c r="E757" s="48" t="s">
        <v>1</v>
      </c>
      <c r="F757" s="6">
        <v>3</v>
      </c>
      <c r="G757" s="6">
        <f>G756</f>
        <v>180</v>
      </c>
      <c r="H757" s="6">
        <f>H756</f>
        <v>500</v>
      </c>
      <c r="I757" s="6">
        <f>G757+0</f>
        <v>180</v>
      </c>
      <c r="J757" s="6">
        <f>H757-250</f>
        <v>250</v>
      </c>
      <c r="K757" s="6">
        <f>I757-150</f>
        <v>30</v>
      </c>
      <c r="L757" s="6">
        <f>J757-150</f>
        <v>100</v>
      </c>
    </row>
    <row r="758" spans="1:14">
      <c r="A758" s="48"/>
      <c r="B758" s="48"/>
      <c r="C758" s="48"/>
      <c r="D758" s="48">
        <f>F758*2+4</f>
        <v>12</v>
      </c>
      <c r="E758" s="48" t="s">
        <v>1</v>
      </c>
      <c r="F758" s="6">
        <v>4</v>
      </c>
      <c r="G758" s="6">
        <f>G757</f>
        <v>180</v>
      </c>
      <c r="H758" s="6">
        <f>H757</f>
        <v>500</v>
      </c>
      <c r="I758" s="6">
        <f>G758-150</f>
        <v>30</v>
      </c>
      <c r="J758" s="6">
        <f>H758-150</f>
        <v>350</v>
      </c>
      <c r="K758" s="6">
        <f>I758+0</f>
        <v>30</v>
      </c>
      <c r="L758" s="6">
        <f>J758-250</f>
        <v>100</v>
      </c>
      <c r="M758" s="6">
        <f>K758+200</f>
        <v>230</v>
      </c>
      <c r="N758" s="6">
        <f>L758-100</f>
        <v>0</v>
      </c>
    </row>
    <row r="759" spans="1:14">
      <c r="A759" s="48"/>
      <c r="B759" s="48"/>
      <c r="C759" s="48"/>
      <c r="D759" s="48">
        <f>F759*2+4</f>
        <v>8</v>
      </c>
      <c r="E759" s="48" t="s">
        <v>1</v>
      </c>
      <c r="F759" s="6">
        <v>2</v>
      </c>
      <c r="G759" s="6">
        <f>I757</f>
        <v>180</v>
      </c>
      <c r="H759" s="6">
        <f>J757</f>
        <v>250</v>
      </c>
      <c r="I759" s="6">
        <f>G759+200</f>
        <v>380</v>
      </c>
      <c r="J759" s="6">
        <f>H759-100</f>
        <v>150</v>
      </c>
    </row>
    <row r="760" spans="1:14">
      <c r="A760" s="48"/>
      <c r="B760" s="48"/>
      <c r="C760" s="48"/>
      <c r="D760" s="48">
        <v>4</v>
      </c>
      <c r="E760" s="48" t="s">
        <v>15</v>
      </c>
      <c r="F760" s="6">
        <v>2</v>
      </c>
    </row>
    <row r="761" spans="1:14">
      <c r="A761" s="48"/>
      <c r="B761" s="48"/>
      <c r="C761" s="48"/>
      <c r="D761" s="48">
        <f>F761*2+4</f>
        <v>10</v>
      </c>
      <c r="E761" s="48" t="s">
        <v>1</v>
      </c>
      <c r="F761" s="6">
        <v>3</v>
      </c>
      <c r="G761" s="6">
        <f>I756</f>
        <v>380</v>
      </c>
      <c r="H761" s="6">
        <f>J756</f>
        <v>400</v>
      </c>
      <c r="I761" s="6">
        <f>G761-150</f>
        <v>230</v>
      </c>
      <c r="J761" s="6">
        <f>H761-150</f>
        <v>250</v>
      </c>
      <c r="K761" s="6">
        <f>I761+0</f>
        <v>230</v>
      </c>
      <c r="L761" s="6">
        <f>J761-250</f>
        <v>0</v>
      </c>
    </row>
    <row r="762" spans="1:14">
      <c r="A762" s="48"/>
      <c r="B762" s="48"/>
      <c r="C762" s="48"/>
      <c r="D762" s="48">
        <f>F762*2+4</f>
        <v>8</v>
      </c>
      <c r="E762" s="48" t="s">
        <v>1</v>
      </c>
      <c r="F762" s="6">
        <v>2</v>
      </c>
      <c r="G762" s="6">
        <f>I758</f>
        <v>30</v>
      </c>
      <c r="H762" s="6">
        <f>J758</f>
        <v>350</v>
      </c>
      <c r="I762" s="6">
        <f>G762+200</f>
        <v>230</v>
      </c>
      <c r="J762" s="6">
        <f>H762-100</f>
        <v>250</v>
      </c>
    </row>
    <row r="763" spans="1:14">
      <c r="A763" s="48" t="s">
        <v>60</v>
      </c>
      <c r="B763" s="48"/>
      <c r="C763" s="48"/>
      <c r="D763" s="48">
        <v>4</v>
      </c>
      <c r="E763" s="48" t="s">
        <v>15</v>
      </c>
      <c r="F763" s="6">
        <v>1</v>
      </c>
    </row>
    <row r="764" spans="1:14">
      <c r="A764" s="48">
        <f t="shared" ref="A764:B766" si="69">G756</f>
        <v>180</v>
      </c>
      <c r="B764" s="48">
        <f t="shared" si="69"/>
        <v>500</v>
      </c>
      <c r="C764" s="48">
        <v>20</v>
      </c>
      <c r="D764" s="48">
        <f>F764*2+4</f>
        <v>10</v>
      </c>
      <c r="E764" s="48" t="s">
        <v>4</v>
      </c>
      <c r="F764" s="6">
        <v>3</v>
      </c>
      <c r="G764" s="6">
        <f t="shared" ref="G764:H766" si="70">I756</f>
        <v>380</v>
      </c>
      <c r="H764" s="6">
        <f t="shared" si="70"/>
        <v>400</v>
      </c>
      <c r="I764" s="6">
        <f>INT(G764-C764*COS(IF(G764-A764=0,IF(H764&gt;B764,PI()/2,-PI()/2),IF(G764-A764&lt;0,PI(),0)+ATAN((H764-B764)/(G764-A764)))-ATAN(0.5)))</f>
        <v>368</v>
      </c>
      <c r="J764" s="6">
        <f>INT(H764-C764*SIN(IF(G764-A764=0,IF(H764&gt;B764,PI()/2,-PI()/2),IF(G764-A764&lt;0,PI(),0)+ATAN((H764-B764)/(G764-A764)))-ATAN(0.5)))</f>
        <v>416</v>
      </c>
      <c r="K764" s="6">
        <f>INT(G764-C764*COS(IF(G764-A764=0,IF(H764&gt;B764,PI()/2,-PI()/2),IF(G764-A764&lt;0,PI(),0)+ATAN((H764-B764)/(G764-A764)))+ATAN(0.5)))</f>
        <v>360</v>
      </c>
      <c r="L764" s="6">
        <f>INT(H764-C764*SIN(IF(G764-A764=0,IF(H764&gt;B764,PI()/2,-PI()/2),IF(G764-A764&lt;0,PI(),0)+ATAN((H764-B764)/(G764-A764)))+ATAN(0.5)))</f>
        <v>400</v>
      </c>
    </row>
    <row r="765" spans="1:14">
      <c r="A765" s="48">
        <f t="shared" si="69"/>
        <v>180</v>
      </c>
      <c r="B765" s="48">
        <f t="shared" si="69"/>
        <v>500</v>
      </c>
      <c r="C765" s="48">
        <v>20</v>
      </c>
      <c r="D765" s="48">
        <f>F765*2+4</f>
        <v>10</v>
      </c>
      <c r="E765" s="48" t="s">
        <v>4</v>
      </c>
      <c r="F765" s="6">
        <v>3</v>
      </c>
      <c r="G765" s="6">
        <f t="shared" si="70"/>
        <v>180</v>
      </c>
      <c r="H765" s="6">
        <f t="shared" si="70"/>
        <v>250</v>
      </c>
      <c r="I765" s="6">
        <f>INT(G765-C765*COS(IF(G765-A765=0,IF(H765&gt;B765,PI()/2,-PI()/2),IF(G765-A765&lt;0,PI(),0)+ATAN((H765-B765)/(G765-A765)))-ATAN(0.5)))</f>
        <v>188</v>
      </c>
      <c r="J765" s="6">
        <f>INT(H765-C765*SIN(IF(G765-A765=0,IF(H765&gt;B765,PI()/2,-PI()/2),IF(G765-A765&lt;0,PI(),0)+ATAN((H765-B765)/(G765-A765)))-ATAN(0.5)))</f>
        <v>267</v>
      </c>
      <c r="K765" s="6">
        <f>INT(G765-C765*COS(IF(G765-A765=0,IF(H765&gt;B765,PI()/2,-PI()/2),IF(G765-A765&lt;0,PI(),0)+ATAN((H765-B765)/(G765-A765)))+ATAN(0.5)))</f>
        <v>171</v>
      </c>
      <c r="L765" s="6">
        <f>INT(H765-C765*SIN(IF(G765-A765=0,IF(H765&gt;B765,PI()/2,-PI()/2),IF(G765-A765&lt;0,PI(),0)+ATAN((H765-B765)/(G765-A765)))+ATAN(0.5)))</f>
        <v>267</v>
      </c>
    </row>
    <row r="766" spans="1:14">
      <c r="A766" s="48">
        <f t="shared" si="69"/>
        <v>180</v>
      </c>
      <c r="B766" s="48">
        <f t="shared" si="69"/>
        <v>500</v>
      </c>
      <c r="C766" s="48">
        <v>20</v>
      </c>
      <c r="D766" s="48">
        <f>F766*2+4</f>
        <v>10</v>
      </c>
      <c r="E766" s="48" t="s">
        <v>4</v>
      </c>
      <c r="F766" s="6">
        <v>3</v>
      </c>
      <c r="G766" s="6">
        <f t="shared" si="70"/>
        <v>30</v>
      </c>
      <c r="H766" s="6">
        <f t="shared" si="70"/>
        <v>350</v>
      </c>
      <c r="I766" s="6">
        <f>INT(G766-C766*COS(IF(G766-A766=0,IF(H766&gt;B766,PI()/2,-PI()/2),IF(G766-A766&lt;0,PI(),0)+ATAN((H766-B766)/(G766-A766)))-ATAN(0.5)))</f>
        <v>48</v>
      </c>
      <c r="J766" s="6">
        <f>INT(H766-C766*SIN(IF(G766-A766=0,IF(H766&gt;B766,PI()/2,-PI()/2),IF(G766-A766&lt;0,PI(),0)+ATAN((H766-B766)/(G766-A766)))-ATAN(0.5)))</f>
        <v>356</v>
      </c>
      <c r="K766" s="6">
        <f>INT(G766-C766*COS(IF(G766-A766=0,IF(H766&gt;B766,PI()/2,-PI()/2),IF(G766-A766&lt;0,PI(),0)+ATAN((H766-B766)/(G766-A766)))+ATAN(0.5)))</f>
        <v>36</v>
      </c>
      <c r="L766" s="6">
        <f>INT(H766-C766*SIN(IF(G766-A766=0,IF(H766&gt;B766,PI()/2,-PI()/2),IF(G766-A766&lt;0,PI(),0)+ATAN((H766-B766)/(G766-A766)))+ATAN(0.5)))</f>
        <v>368</v>
      </c>
    </row>
    <row r="767" spans="1:14">
      <c r="A767" s="48"/>
      <c r="B767" s="48"/>
      <c r="C767" s="48"/>
      <c r="D767" s="48">
        <v>7</v>
      </c>
      <c r="E767" s="48" t="s">
        <v>11</v>
      </c>
      <c r="F767" s="6">
        <v>1</v>
      </c>
      <c r="G767" s="6">
        <v>0</v>
      </c>
      <c r="H767" s="6">
        <v>0</v>
      </c>
      <c r="I767" s="6">
        <v>0</v>
      </c>
    </row>
    <row r="768" spans="1:14">
      <c r="A768" s="48"/>
      <c r="B768" s="48"/>
      <c r="C768" s="48"/>
      <c r="D768" s="48">
        <v>4</v>
      </c>
      <c r="E768" s="48" t="s">
        <v>15</v>
      </c>
      <c r="F768" s="6">
        <v>4</v>
      </c>
    </row>
    <row r="769" spans="1:15">
      <c r="A769" s="48"/>
      <c r="B769" s="48"/>
      <c r="C769" s="48"/>
      <c r="D769" s="48">
        <v>4</v>
      </c>
      <c r="E769" s="48" t="s">
        <v>15</v>
      </c>
      <c r="F769" s="6">
        <v>2</v>
      </c>
    </row>
    <row r="770" spans="1:15">
      <c r="A770" s="48"/>
      <c r="B770" s="48"/>
      <c r="C770" s="48"/>
      <c r="D770" s="48">
        <f>F770*2+4</f>
        <v>12</v>
      </c>
      <c r="E770" s="48" t="s">
        <v>4</v>
      </c>
      <c r="F770" s="6">
        <v>4</v>
      </c>
      <c r="G770" s="6">
        <f>G756-15</f>
        <v>165</v>
      </c>
      <c r="H770" s="6">
        <f>H756-15</f>
        <v>485</v>
      </c>
      <c r="I770" s="6">
        <f>G770+0</f>
        <v>165</v>
      </c>
      <c r="J770" s="6">
        <f t="shared" ref="J770" si="71">H770-250</f>
        <v>235</v>
      </c>
      <c r="K770" s="6">
        <f t="shared" ref="K770" si="72">I770+200</f>
        <v>365</v>
      </c>
      <c r="L770" s="6">
        <f t="shared" ref="L770" si="73">J770-100</f>
        <v>135</v>
      </c>
      <c r="M770" s="6">
        <f>K770+0</f>
        <v>365</v>
      </c>
      <c r="N770" s="6">
        <f>L770+250</f>
        <v>385</v>
      </c>
    </row>
    <row r="771" spans="1:15">
      <c r="A771" s="48"/>
      <c r="B771" s="48"/>
      <c r="C771" s="48"/>
      <c r="D771" s="48"/>
      <c r="E771" s="49" t="s">
        <v>768</v>
      </c>
      <c r="F771" s="49">
        <v>1</v>
      </c>
      <c r="G771" s="49">
        <v>-15</v>
      </c>
      <c r="H771" s="50">
        <v>-15</v>
      </c>
      <c r="I771" s="50">
        <v>8</v>
      </c>
    </row>
    <row r="772" spans="1:15">
      <c r="A772" s="48"/>
      <c r="B772" s="48"/>
      <c r="C772" s="48"/>
      <c r="D772" s="48">
        <f>ROUNDUP(6+F772/2,0)</f>
        <v>7</v>
      </c>
      <c r="E772" s="48" t="s">
        <v>6</v>
      </c>
      <c r="F772" s="6">
        <f>LEN(G772)</f>
        <v>1</v>
      </c>
      <c r="G772" s="6" t="s">
        <v>43</v>
      </c>
      <c r="H772" s="6">
        <f>H764-20</f>
        <v>380</v>
      </c>
      <c r="I772" s="6">
        <f>G764+5</f>
        <v>385</v>
      </c>
    </row>
    <row r="773" spans="1:15">
      <c r="A773" s="48"/>
      <c r="B773" s="48"/>
      <c r="C773" s="48"/>
      <c r="D773" s="48">
        <f>ROUNDUP(6+F773/2,0)</f>
        <v>7</v>
      </c>
      <c r="E773" s="48" t="s">
        <v>6</v>
      </c>
      <c r="F773" s="6">
        <f>LEN(G773)</f>
        <v>1</v>
      </c>
      <c r="G773" s="6" t="s">
        <v>61</v>
      </c>
      <c r="H773" s="6">
        <f>J757-35</f>
        <v>215</v>
      </c>
      <c r="I773" s="6">
        <f>I757-10</f>
        <v>170</v>
      </c>
    </row>
    <row r="774" spans="1:15">
      <c r="A774" s="48"/>
      <c r="B774" s="48"/>
      <c r="C774" s="48"/>
      <c r="D774" s="48">
        <f>ROUNDUP(6+F774/2,0)</f>
        <v>7</v>
      </c>
      <c r="E774" s="48" t="s">
        <v>6</v>
      </c>
      <c r="F774" s="6">
        <f>LEN(G774)</f>
        <v>1</v>
      </c>
      <c r="G774" s="6" t="s">
        <v>22</v>
      </c>
      <c r="H774" s="6">
        <f>H766-20</f>
        <v>330</v>
      </c>
      <c r="I774" s="6">
        <f>G766-25</f>
        <v>5</v>
      </c>
    </row>
    <row r="777" spans="1:15">
      <c r="A777" s="48" t="s">
        <v>383</v>
      </c>
      <c r="B777" t="s">
        <v>13</v>
      </c>
      <c r="E777">
        <v>52695</v>
      </c>
      <c r="F777" s="6">
        <v>39622</v>
      </c>
      <c r="G777" s="24">
        <v>0</v>
      </c>
      <c r="H777" s="6">
        <v>0</v>
      </c>
      <c r="I777" s="6">
        <v>0</v>
      </c>
      <c r="J777" s="6">
        <v>350</v>
      </c>
      <c r="K777" s="6">
        <v>542</v>
      </c>
      <c r="L777" s="6">
        <v>192</v>
      </c>
      <c r="M777" s="6">
        <v>0</v>
      </c>
      <c r="N777" s="6">
        <v>0</v>
      </c>
      <c r="O777" s="6" t="e">
        <f ca="1">checksummeint(G777,H777,I777,J777,K777,L777,M777,N777)</f>
        <v>#NAME?</v>
      </c>
    </row>
    <row r="778" spans="1:15">
      <c r="D778">
        <v>28</v>
      </c>
      <c r="E778" t="s">
        <v>12</v>
      </c>
      <c r="F778" s="6">
        <v>36</v>
      </c>
      <c r="G778" s="24">
        <v>0</v>
      </c>
      <c r="H778" s="6">
        <v>0</v>
      </c>
      <c r="I778" s="6">
        <v>0</v>
      </c>
      <c r="J778" s="6">
        <v>400</v>
      </c>
      <c r="K778" s="6">
        <v>0</v>
      </c>
      <c r="L778" s="6">
        <v>0</v>
      </c>
      <c r="M778" s="6">
        <v>0</v>
      </c>
      <c r="N778" s="6">
        <v>0</v>
      </c>
      <c r="O778" s="6" t="s">
        <v>19</v>
      </c>
    </row>
    <row r="779" spans="1:15">
      <c r="D779">
        <v>4</v>
      </c>
      <c r="E779" t="s">
        <v>15</v>
      </c>
      <c r="F779" s="6">
        <v>0</v>
      </c>
      <c r="G779" s="24"/>
    </row>
    <row r="780" spans="1:15">
      <c r="D780">
        <v>8</v>
      </c>
      <c r="E780" t="s">
        <v>14</v>
      </c>
      <c r="F780" s="6">
        <v>0</v>
      </c>
      <c r="G780" s="6">
        <v>2</v>
      </c>
      <c r="H780" s="6">
        <v>0</v>
      </c>
      <c r="I780" s="6">
        <v>0</v>
      </c>
      <c r="J780" s="6">
        <v>0</v>
      </c>
    </row>
    <row r="781" spans="1:15">
      <c r="D781">
        <v>4</v>
      </c>
      <c r="E781" t="s">
        <v>15</v>
      </c>
      <c r="F781" s="6">
        <v>1</v>
      </c>
      <c r="G781" s="24"/>
    </row>
    <row r="782" spans="1:15">
      <c r="D782">
        <v>7</v>
      </c>
      <c r="E782" t="s">
        <v>11</v>
      </c>
      <c r="F782" s="6">
        <v>0</v>
      </c>
      <c r="G782" s="6">
        <v>255</v>
      </c>
      <c r="H782" s="6">
        <v>0</v>
      </c>
      <c r="I782" s="6">
        <v>0</v>
      </c>
    </row>
    <row r="783" spans="1:15">
      <c r="D783">
        <v>4</v>
      </c>
      <c r="E783" t="s">
        <v>15</v>
      </c>
      <c r="F783" s="6">
        <v>2</v>
      </c>
      <c r="G783" s="24"/>
    </row>
    <row r="784" spans="1:15">
      <c r="D784">
        <v>7</v>
      </c>
      <c r="E784" t="s">
        <v>5</v>
      </c>
      <c r="F784" s="6">
        <v>40</v>
      </c>
      <c r="G784" s="24">
        <v>1</v>
      </c>
      <c r="H784" s="6">
        <v>1</v>
      </c>
      <c r="I784" s="6">
        <v>90</v>
      </c>
    </row>
    <row r="785" spans="4:9">
      <c r="D785">
        <v>7</v>
      </c>
      <c r="E785" t="s">
        <v>11</v>
      </c>
      <c r="F785" s="6">
        <v>0</v>
      </c>
      <c r="G785" s="6">
        <f>G782+256*51</f>
        <v>13311</v>
      </c>
      <c r="H785" s="6">
        <f>H782+51</f>
        <v>51</v>
      </c>
      <c r="I785" s="6">
        <v>0</v>
      </c>
    </row>
    <row r="786" spans="4:9">
      <c r="D786">
        <v>4</v>
      </c>
      <c r="E786" t="s">
        <v>15</v>
      </c>
      <c r="F786" s="6">
        <f>F783+1</f>
        <v>3</v>
      </c>
      <c r="G786" s="24"/>
    </row>
    <row r="787" spans="4:9">
      <c r="D787">
        <v>7</v>
      </c>
      <c r="E787" t="s">
        <v>5</v>
      </c>
      <c r="F787" s="6">
        <f>F784+50</f>
        <v>90</v>
      </c>
      <c r="G787" s="24">
        <f>G784</f>
        <v>1</v>
      </c>
      <c r="H787" s="6">
        <f>H784+50</f>
        <v>51</v>
      </c>
      <c r="I787" s="6">
        <v>90</v>
      </c>
    </row>
    <row r="788" spans="4:9">
      <c r="D788">
        <v>7</v>
      </c>
      <c r="E788" t="s">
        <v>11</v>
      </c>
      <c r="F788" s="6">
        <v>0</v>
      </c>
      <c r="G788" s="6">
        <f>G785+256*51</f>
        <v>26367</v>
      </c>
      <c r="H788" s="6">
        <f>H785+51</f>
        <v>102</v>
      </c>
      <c r="I788" s="6">
        <v>0</v>
      </c>
    </row>
    <row r="789" spans="4:9">
      <c r="D789">
        <v>4</v>
      </c>
      <c r="E789" t="s">
        <v>15</v>
      </c>
      <c r="F789" s="6">
        <f>F786+1</f>
        <v>4</v>
      </c>
      <c r="G789" s="24"/>
    </row>
    <row r="790" spans="4:9">
      <c r="D790">
        <v>7</v>
      </c>
      <c r="E790" t="s">
        <v>5</v>
      </c>
      <c r="F790" s="6">
        <f>F787+50</f>
        <v>140</v>
      </c>
      <c r="G790" s="24">
        <f>G787</f>
        <v>1</v>
      </c>
      <c r="H790" s="6">
        <f>H787+50</f>
        <v>101</v>
      </c>
      <c r="I790" s="6">
        <v>90</v>
      </c>
    </row>
    <row r="791" spans="4:9">
      <c r="D791">
        <v>7</v>
      </c>
      <c r="E791" t="s">
        <v>11</v>
      </c>
      <c r="F791" s="6">
        <v>0</v>
      </c>
      <c r="G791" s="6">
        <f>G788+256*51</f>
        <v>39423</v>
      </c>
      <c r="H791" s="6">
        <f>H788+51</f>
        <v>153</v>
      </c>
      <c r="I791" s="6">
        <v>0</v>
      </c>
    </row>
    <row r="792" spans="4:9">
      <c r="D792">
        <v>4</v>
      </c>
      <c r="E792" t="s">
        <v>15</v>
      </c>
      <c r="F792" s="6">
        <f>F789+1</f>
        <v>5</v>
      </c>
      <c r="G792" s="24"/>
    </row>
    <row r="793" spans="4:9">
      <c r="D793">
        <v>7</v>
      </c>
      <c r="E793" t="s">
        <v>5</v>
      </c>
      <c r="F793" s="6">
        <f>F790+50</f>
        <v>190</v>
      </c>
      <c r="G793" s="24">
        <f>G790</f>
        <v>1</v>
      </c>
      <c r="H793" s="6">
        <f>H790+50</f>
        <v>151</v>
      </c>
      <c r="I793" s="6">
        <v>90</v>
      </c>
    </row>
    <row r="794" spans="4:9">
      <c r="D794">
        <v>7</v>
      </c>
      <c r="E794" t="s">
        <v>11</v>
      </c>
      <c r="F794" s="6">
        <v>0</v>
      </c>
      <c r="G794" s="6">
        <f>G791+256*51</f>
        <v>52479</v>
      </c>
      <c r="H794" s="6">
        <f>H791+51</f>
        <v>204</v>
      </c>
      <c r="I794" s="6">
        <v>0</v>
      </c>
    </row>
    <row r="795" spans="4:9">
      <c r="D795">
        <v>4</v>
      </c>
      <c r="E795" t="s">
        <v>15</v>
      </c>
      <c r="F795" s="6">
        <f>F792+1</f>
        <v>6</v>
      </c>
      <c r="G795" s="24"/>
    </row>
    <row r="796" spans="4:9">
      <c r="D796">
        <v>7</v>
      </c>
      <c r="E796" t="s">
        <v>5</v>
      </c>
      <c r="F796" s="6">
        <f>F793+50</f>
        <v>240</v>
      </c>
      <c r="G796" s="24">
        <f>G793</f>
        <v>1</v>
      </c>
      <c r="H796" s="6">
        <f>H793+50</f>
        <v>201</v>
      </c>
      <c r="I796" s="6">
        <v>90</v>
      </c>
    </row>
    <row r="797" spans="4:9">
      <c r="D797">
        <v>7</v>
      </c>
      <c r="E797" t="s">
        <v>11</v>
      </c>
      <c r="F797" s="6">
        <v>0</v>
      </c>
      <c r="G797" s="6">
        <f>G794+256*51</f>
        <v>65535</v>
      </c>
      <c r="H797" s="6">
        <f>H794+51</f>
        <v>255</v>
      </c>
      <c r="I797" s="6">
        <v>0</v>
      </c>
    </row>
    <row r="798" spans="4:9">
      <c r="D798">
        <v>4</v>
      </c>
      <c r="E798" t="s">
        <v>15</v>
      </c>
      <c r="F798" s="6">
        <f>F795+1</f>
        <v>7</v>
      </c>
      <c r="G798" s="24"/>
    </row>
    <row r="799" spans="4:9">
      <c r="D799">
        <v>7</v>
      </c>
      <c r="E799" t="s">
        <v>5</v>
      </c>
      <c r="F799" s="6">
        <f>F796+50</f>
        <v>290</v>
      </c>
      <c r="G799" s="24">
        <f>G796</f>
        <v>1</v>
      </c>
      <c r="H799" s="6">
        <f>H796+50</f>
        <v>251</v>
      </c>
      <c r="I799" s="6">
        <v>90</v>
      </c>
    </row>
    <row r="800" spans="4:9">
      <c r="D800">
        <v>7</v>
      </c>
      <c r="E800" t="s">
        <v>11</v>
      </c>
      <c r="F800" s="6">
        <v>0</v>
      </c>
      <c r="G800" s="6">
        <f>G797-257*51</f>
        <v>52428</v>
      </c>
      <c r="H800" s="6">
        <v>255</v>
      </c>
      <c r="I800" s="6">
        <v>0</v>
      </c>
    </row>
    <row r="801" spans="4:17">
      <c r="D801">
        <v>4</v>
      </c>
      <c r="E801" t="s">
        <v>15</v>
      </c>
      <c r="F801" s="6">
        <f>F798+1</f>
        <v>8</v>
      </c>
      <c r="G801" s="24"/>
    </row>
    <row r="802" spans="4:17">
      <c r="D802">
        <v>7</v>
      </c>
      <c r="E802" t="s">
        <v>5</v>
      </c>
      <c r="F802" s="6">
        <f>F799+50</f>
        <v>340</v>
      </c>
      <c r="G802" s="24">
        <f>G799</f>
        <v>1</v>
      </c>
      <c r="H802" s="6">
        <f>H799+50</f>
        <v>301</v>
      </c>
      <c r="I802" s="6">
        <v>90</v>
      </c>
    </row>
    <row r="803" spans="4:17">
      <c r="D803">
        <v>7</v>
      </c>
      <c r="E803" t="s">
        <v>11</v>
      </c>
      <c r="F803" s="6">
        <v>0</v>
      </c>
      <c r="G803" s="6">
        <f>G800-257*51</f>
        <v>39321</v>
      </c>
      <c r="H803" s="6">
        <v>255</v>
      </c>
      <c r="I803" s="6">
        <v>0</v>
      </c>
    </row>
    <row r="804" spans="4:17">
      <c r="D804">
        <v>4</v>
      </c>
      <c r="E804" t="s">
        <v>15</v>
      </c>
      <c r="F804" s="6">
        <f>F801+1</f>
        <v>9</v>
      </c>
      <c r="G804" s="24"/>
    </row>
    <row r="805" spans="4:17">
      <c r="D805">
        <v>7</v>
      </c>
      <c r="E805" t="s">
        <v>5</v>
      </c>
      <c r="F805" s="6">
        <f>F802+50</f>
        <v>390</v>
      </c>
      <c r="G805" s="24">
        <f>G802</f>
        <v>1</v>
      </c>
      <c r="H805" s="6">
        <f>H802+50</f>
        <v>351</v>
      </c>
      <c r="I805" s="6">
        <v>90</v>
      </c>
    </row>
    <row r="806" spans="4:17">
      <c r="D806">
        <v>7</v>
      </c>
      <c r="E806" t="s">
        <v>11</v>
      </c>
      <c r="F806" s="6">
        <v>0</v>
      </c>
      <c r="G806" s="6">
        <f>G803-257*51</f>
        <v>26214</v>
      </c>
      <c r="H806" s="6">
        <v>255</v>
      </c>
      <c r="I806" s="6">
        <v>0</v>
      </c>
    </row>
    <row r="807" spans="4:17">
      <c r="D807">
        <v>4</v>
      </c>
      <c r="E807" t="s">
        <v>15</v>
      </c>
      <c r="F807" s="6">
        <f>F804+1</f>
        <v>10</v>
      </c>
      <c r="G807" s="24"/>
    </row>
    <row r="808" spans="4:17">
      <c r="D808">
        <v>7</v>
      </c>
      <c r="E808" t="s">
        <v>5</v>
      </c>
      <c r="F808" s="6">
        <f>F805+50</f>
        <v>440</v>
      </c>
      <c r="G808" s="24">
        <f>G805</f>
        <v>1</v>
      </c>
      <c r="H808" s="6">
        <f>H805+50</f>
        <v>401</v>
      </c>
      <c r="I808" s="6">
        <v>90</v>
      </c>
    </row>
    <row r="809" spans="4:17">
      <c r="D809">
        <v>7</v>
      </c>
      <c r="E809" t="s">
        <v>11</v>
      </c>
      <c r="F809" s="6">
        <v>0</v>
      </c>
      <c r="G809" s="6">
        <f>G806-257*51</f>
        <v>13107</v>
      </c>
      <c r="H809" s="6">
        <v>255</v>
      </c>
      <c r="I809" s="6">
        <v>0</v>
      </c>
    </row>
    <row r="810" spans="4:17">
      <c r="D810">
        <v>4</v>
      </c>
      <c r="E810" t="s">
        <v>15</v>
      </c>
      <c r="F810" s="6">
        <f>F807+1</f>
        <v>11</v>
      </c>
      <c r="G810" s="24"/>
    </row>
    <row r="811" spans="4:17">
      <c r="D811">
        <v>7</v>
      </c>
      <c r="E811" t="s">
        <v>5</v>
      </c>
      <c r="F811" s="6">
        <f>F808+50</f>
        <v>490</v>
      </c>
      <c r="G811" s="24">
        <f>G808</f>
        <v>1</v>
      </c>
      <c r="H811" s="6">
        <f>H808+50</f>
        <v>451</v>
      </c>
      <c r="I811" s="6">
        <v>90</v>
      </c>
    </row>
    <row r="812" spans="4:17">
      <c r="D812">
        <v>7</v>
      </c>
      <c r="E812" t="s">
        <v>11</v>
      </c>
      <c r="F812" s="6">
        <v>0</v>
      </c>
      <c r="G812" s="6">
        <f>G809-257*51</f>
        <v>0</v>
      </c>
      <c r="H812" s="6">
        <v>255</v>
      </c>
      <c r="I812" s="6">
        <v>0</v>
      </c>
    </row>
    <row r="813" spans="4:17">
      <c r="D813">
        <v>4</v>
      </c>
      <c r="E813" t="s">
        <v>15</v>
      </c>
      <c r="F813" s="6">
        <f>F810+1</f>
        <v>12</v>
      </c>
      <c r="G813" s="24"/>
    </row>
    <row r="814" spans="4:17">
      <c r="D814">
        <v>7</v>
      </c>
      <c r="E814" t="s">
        <v>5</v>
      </c>
      <c r="F814" s="6">
        <f>F811+50</f>
        <v>540</v>
      </c>
      <c r="G814" s="24">
        <f>G811</f>
        <v>1</v>
      </c>
      <c r="H814" s="6">
        <f>H811+50</f>
        <v>501</v>
      </c>
      <c r="I814" s="6">
        <v>90</v>
      </c>
    </row>
    <row r="815" spans="4:17">
      <c r="D815">
        <f>ROUNDUP(6+F815/2,0)</f>
        <v>11</v>
      </c>
      <c r="E815" t="s">
        <v>6</v>
      </c>
      <c r="F815" s="6">
        <f>LEN(G815)</f>
        <v>10</v>
      </c>
      <c r="G815" s="36" t="s">
        <v>91</v>
      </c>
      <c r="H815" s="6">
        <f>F784-35</f>
        <v>5</v>
      </c>
      <c r="I815" s="6">
        <v>200</v>
      </c>
    </row>
    <row r="816" spans="4:17">
      <c r="E816" s="6" t="s">
        <v>517</v>
      </c>
      <c r="F816" s="6" t="s">
        <v>548</v>
      </c>
      <c r="G816" s="6">
        <f>I815-25</f>
        <v>175</v>
      </c>
      <c r="H816" s="6">
        <f>H815+50</f>
        <v>55</v>
      </c>
      <c r="I816" s="6">
        <f>H816+50</f>
        <v>105</v>
      </c>
      <c r="J816" s="6">
        <f t="shared" ref="J816:Q816" si="74">I816+50</f>
        <v>155</v>
      </c>
      <c r="K816" s="6">
        <f t="shared" si="74"/>
        <v>205</v>
      </c>
      <c r="L816" s="6">
        <f t="shared" si="74"/>
        <v>255</v>
      </c>
      <c r="M816" s="6">
        <f t="shared" si="74"/>
        <v>305</v>
      </c>
      <c r="N816" s="6">
        <f t="shared" si="74"/>
        <v>355</v>
      </c>
      <c r="O816" s="6">
        <f t="shared" si="74"/>
        <v>405</v>
      </c>
      <c r="P816" s="6">
        <f t="shared" si="74"/>
        <v>455</v>
      </c>
      <c r="Q816" s="6">
        <f t="shared" si="74"/>
        <v>505</v>
      </c>
    </row>
    <row r="817" spans="1:108">
      <c r="E817" s="6" t="s">
        <v>517</v>
      </c>
      <c r="F817" s="32" t="s">
        <v>549</v>
      </c>
      <c r="G817" s="6">
        <v>100</v>
      </c>
      <c r="H817" s="6">
        <f>H816</f>
        <v>55</v>
      </c>
      <c r="I817" s="6">
        <f>H817+50</f>
        <v>105</v>
      </c>
      <c r="J817" s="6">
        <f t="shared" ref="J817:Q817" si="75">I817+50</f>
        <v>155</v>
      </c>
      <c r="K817" s="6">
        <f t="shared" si="75"/>
        <v>205</v>
      </c>
      <c r="L817" s="6">
        <f t="shared" si="75"/>
        <v>255</v>
      </c>
      <c r="M817" s="6">
        <f t="shared" si="75"/>
        <v>305</v>
      </c>
      <c r="N817" s="6">
        <f t="shared" si="75"/>
        <v>355</v>
      </c>
      <c r="O817" s="6">
        <f t="shared" si="75"/>
        <v>405</v>
      </c>
      <c r="P817" s="6">
        <f t="shared" si="75"/>
        <v>455</v>
      </c>
      <c r="Q817" s="6">
        <f t="shared" si="75"/>
        <v>505</v>
      </c>
    </row>
    <row r="820" spans="1:108">
      <c r="A820" s="48" t="s">
        <v>383</v>
      </c>
      <c r="B820" s="1" t="s">
        <v>93</v>
      </c>
      <c r="D820" t="s">
        <v>449</v>
      </c>
      <c r="E820">
        <v>52695</v>
      </c>
      <c r="F820" s="6">
        <v>39622</v>
      </c>
      <c r="G820" s="6">
        <v>0</v>
      </c>
      <c r="H820" s="6">
        <v>0</v>
      </c>
      <c r="I820" s="6">
        <v>0</v>
      </c>
      <c r="J820" s="6">
        <v>1220</v>
      </c>
      <c r="K820" s="6">
        <v>250</v>
      </c>
      <c r="L820" s="6">
        <v>192</v>
      </c>
      <c r="M820" s="6">
        <v>0</v>
      </c>
      <c r="N820" s="6">
        <v>0</v>
      </c>
      <c r="O820" s="6" t="e">
        <f ca="1">checksummeint(G820,H820,I820,J820,K820,L820,M820,N820)</f>
        <v>#NAME?</v>
      </c>
    </row>
    <row r="821" spans="1:108">
      <c r="D821">
        <v>28</v>
      </c>
      <c r="E821" t="s">
        <v>12</v>
      </c>
      <c r="F821" s="6">
        <v>36</v>
      </c>
      <c r="G821" s="6">
        <v>0</v>
      </c>
      <c r="H821" s="6">
        <v>0</v>
      </c>
      <c r="I821" s="6">
        <v>0</v>
      </c>
      <c r="J821" s="6">
        <v>400</v>
      </c>
      <c r="K821" s="6">
        <v>0</v>
      </c>
      <c r="L821" s="6">
        <v>0</v>
      </c>
      <c r="M821" s="6">
        <v>0</v>
      </c>
      <c r="N821" s="6">
        <v>0</v>
      </c>
      <c r="O821" s="6" t="s">
        <v>19</v>
      </c>
    </row>
    <row r="822" spans="1:108">
      <c r="D822">
        <v>4</v>
      </c>
      <c r="E822" t="s">
        <v>15</v>
      </c>
      <c r="F822" s="6">
        <v>0</v>
      </c>
    </row>
    <row r="823" spans="1:108">
      <c r="D823">
        <v>5</v>
      </c>
      <c r="E823" t="s">
        <v>59</v>
      </c>
      <c r="F823" s="6">
        <v>1</v>
      </c>
      <c r="G823" s="6">
        <v>0</v>
      </c>
      <c r="M823" s="44"/>
      <c r="N823" s="45"/>
      <c r="O823" s="46"/>
    </row>
    <row r="824" spans="1:108">
      <c r="D824">
        <v>8</v>
      </c>
      <c r="E824" t="s">
        <v>14</v>
      </c>
      <c r="F824" s="6">
        <v>0</v>
      </c>
      <c r="G824" s="6">
        <v>3</v>
      </c>
      <c r="H824" s="6">
        <v>0</v>
      </c>
      <c r="I824" s="6">
        <v>255</v>
      </c>
      <c r="J824" s="6">
        <v>0</v>
      </c>
    </row>
    <row r="825" spans="1:108">
      <c r="D825">
        <v>4</v>
      </c>
      <c r="E825" t="s">
        <v>15</v>
      </c>
      <c r="F825" s="6">
        <v>1</v>
      </c>
    </row>
    <row r="826" spans="1:108">
      <c r="D826">
        <v>106</v>
      </c>
      <c r="E826" t="s">
        <v>1</v>
      </c>
      <c r="F826" s="6">
        <v>51</v>
      </c>
      <c r="G826" s="6">
        <v>50</v>
      </c>
      <c r="H826" s="6">
        <v>200</v>
      </c>
      <c r="I826" s="6">
        <v>70</v>
      </c>
      <c r="J826" s="6">
        <v>190</v>
      </c>
      <c r="K826" s="6">
        <v>90</v>
      </c>
      <c r="L826" s="6">
        <v>180</v>
      </c>
      <c r="M826" s="6">
        <v>110</v>
      </c>
      <c r="N826" s="6">
        <v>170</v>
      </c>
      <c r="O826" s="6">
        <v>130</v>
      </c>
      <c r="P826">
        <v>160</v>
      </c>
      <c r="Q826">
        <v>150</v>
      </c>
      <c r="R826">
        <v>150</v>
      </c>
      <c r="S826">
        <v>170</v>
      </c>
      <c r="T826">
        <v>140</v>
      </c>
      <c r="U826">
        <v>190</v>
      </c>
      <c r="V826">
        <v>130</v>
      </c>
      <c r="W826">
        <v>210</v>
      </c>
      <c r="X826">
        <v>120</v>
      </c>
      <c r="Y826">
        <v>230</v>
      </c>
      <c r="Z826">
        <v>140</v>
      </c>
      <c r="AA826">
        <v>250</v>
      </c>
      <c r="AB826">
        <v>151</v>
      </c>
      <c r="AC826">
        <v>270</v>
      </c>
      <c r="AD826">
        <v>155</v>
      </c>
      <c r="AE826">
        <v>290</v>
      </c>
      <c r="AF826">
        <v>156</v>
      </c>
      <c r="AG826">
        <v>310</v>
      </c>
      <c r="AH826">
        <v>146</v>
      </c>
      <c r="AI826">
        <v>330</v>
      </c>
      <c r="AJ826">
        <v>137</v>
      </c>
      <c r="AK826">
        <v>350</v>
      </c>
      <c r="AL826">
        <v>127</v>
      </c>
      <c r="AM826">
        <v>370</v>
      </c>
      <c r="AN826">
        <v>117</v>
      </c>
      <c r="AO826">
        <v>390</v>
      </c>
      <c r="AP826">
        <v>110</v>
      </c>
      <c r="AQ826">
        <v>410</v>
      </c>
      <c r="AR826">
        <v>111</v>
      </c>
      <c r="AS826">
        <v>430</v>
      </c>
      <c r="AT826">
        <v>117</v>
      </c>
      <c r="AU826">
        <v>450</v>
      </c>
      <c r="AV826">
        <v>128</v>
      </c>
      <c r="AW826">
        <v>470</v>
      </c>
      <c r="AX826">
        <v>131</v>
      </c>
      <c r="AY826">
        <v>490</v>
      </c>
      <c r="AZ826">
        <v>133</v>
      </c>
      <c r="BA826">
        <v>510</v>
      </c>
      <c r="BB826">
        <v>127</v>
      </c>
      <c r="BC826">
        <v>530</v>
      </c>
      <c r="BD826">
        <v>118</v>
      </c>
      <c r="BE826">
        <v>550</v>
      </c>
      <c r="BF826">
        <v>110</v>
      </c>
      <c r="BG826">
        <v>570</v>
      </c>
      <c r="BH826">
        <v>100</v>
      </c>
      <c r="BI826">
        <v>590</v>
      </c>
      <c r="BJ826">
        <v>95</v>
      </c>
      <c r="BK826">
        <v>610</v>
      </c>
      <c r="BL826">
        <v>98</v>
      </c>
      <c r="BM826">
        <v>630</v>
      </c>
      <c r="BN826">
        <v>102</v>
      </c>
      <c r="BO826">
        <v>650</v>
      </c>
      <c r="BP826">
        <v>108</v>
      </c>
      <c r="BQ826">
        <v>670</v>
      </c>
      <c r="BR826">
        <v>114</v>
      </c>
      <c r="BS826">
        <v>690</v>
      </c>
      <c r="BT826">
        <v>114</v>
      </c>
      <c r="BU826">
        <v>710</v>
      </c>
      <c r="BV826">
        <v>109</v>
      </c>
      <c r="BW826">
        <v>730</v>
      </c>
      <c r="BX826">
        <v>103</v>
      </c>
      <c r="BY826">
        <v>750</v>
      </c>
      <c r="BZ826">
        <v>95</v>
      </c>
      <c r="CA826">
        <v>770</v>
      </c>
      <c r="CB826">
        <v>88</v>
      </c>
      <c r="CC826">
        <v>790</v>
      </c>
      <c r="CD826">
        <v>87</v>
      </c>
      <c r="CE826">
        <v>810</v>
      </c>
      <c r="CF826">
        <v>85</v>
      </c>
      <c r="CG826">
        <v>830</v>
      </c>
      <c r="CH826">
        <v>89</v>
      </c>
      <c r="CI826">
        <v>850</v>
      </c>
      <c r="CJ826">
        <v>94</v>
      </c>
      <c r="CK826">
        <v>870</v>
      </c>
      <c r="CL826">
        <v>95</v>
      </c>
      <c r="CM826">
        <v>890</v>
      </c>
      <c r="CN826">
        <v>98</v>
      </c>
      <c r="CO826">
        <v>910</v>
      </c>
      <c r="CP826">
        <v>92</v>
      </c>
      <c r="CQ826">
        <v>930</v>
      </c>
      <c r="CR826">
        <v>90</v>
      </c>
      <c r="CS826">
        <v>950</v>
      </c>
      <c r="CT826">
        <v>82</v>
      </c>
      <c r="CU826">
        <v>970</v>
      </c>
      <c r="CV826">
        <v>77</v>
      </c>
      <c r="CW826">
        <v>990</v>
      </c>
      <c r="CX826">
        <v>73</v>
      </c>
      <c r="CY826">
        <v>1010</v>
      </c>
      <c r="CZ826">
        <v>75</v>
      </c>
      <c r="DA826">
        <v>1030</v>
      </c>
      <c r="DB826">
        <v>76</v>
      </c>
      <c r="DC826">
        <v>1050</v>
      </c>
      <c r="DD826">
        <v>82</v>
      </c>
    </row>
    <row r="827" spans="1:108">
      <c r="D827">
        <f>F827*2+4</f>
        <v>8</v>
      </c>
      <c r="E827" t="s">
        <v>1</v>
      </c>
      <c r="F827" s="6">
        <v>2</v>
      </c>
      <c r="G827" s="24">
        <f>G849-80</f>
        <v>820</v>
      </c>
      <c r="H827" s="6">
        <f>H849+20</f>
        <v>140</v>
      </c>
      <c r="I827" s="6">
        <f>G827+60</f>
        <v>880</v>
      </c>
      <c r="J827" s="6">
        <f>H827</f>
        <v>140</v>
      </c>
    </row>
    <row r="828" spans="1:108">
      <c r="D828">
        <v>8</v>
      </c>
      <c r="E828" t="s">
        <v>14</v>
      </c>
      <c r="F828" s="6">
        <v>0</v>
      </c>
      <c r="G828" s="6">
        <v>3</v>
      </c>
      <c r="H828" s="6">
        <v>0</v>
      </c>
      <c r="I828" s="6">
        <v>0</v>
      </c>
      <c r="J828" s="6">
        <v>255</v>
      </c>
    </row>
    <row r="829" spans="1:108">
      <c r="D829">
        <v>4</v>
      </c>
      <c r="E829" t="s">
        <v>15</v>
      </c>
      <c r="F829" s="6">
        <v>2</v>
      </c>
    </row>
    <row r="830" spans="1:108">
      <c r="D830">
        <v>106</v>
      </c>
      <c r="E830" t="s">
        <v>1</v>
      </c>
      <c r="F830" s="6">
        <v>51</v>
      </c>
      <c r="G830" s="6">
        <v>50</v>
      </c>
      <c r="H830" s="6">
        <v>200</v>
      </c>
      <c r="I830" s="6">
        <v>70</v>
      </c>
      <c r="J830" s="6">
        <v>190</v>
      </c>
      <c r="K830" s="6">
        <v>90</v>
      </c>
      <c r="L830" s="6">
        <v>180</v>
      </c>
      <c r="M830" s="6">
        <v>110</v>
      </c>
      <c r="N830" s="6">
        <v>170</v>
      </c>
      <c r="O830" s="6">
        <v>130</v>
      </c>
      <c r="P830">
        <v>160</v>
      </c>
      <c r="Q830">
        <v>150</v>
      </c>
      <c r="R830">
        <v>150</v>
      </c>
      <c r="S830">
        <v>170</v>
      </c>
      <c r="T830">
        <v>140</v>
      </c>
      <c r="U830">
        <v>190</v>
      </c>
      <c r="V830">
        <v>130</v>
      </c>
      <c r="W830">
        <v>210</v>
      </c>
      <c r="X830">
        <v>120</v>
      </c>
      <c r="Y830">
        <v>230</v>
      </c>
      <c r="Z830">
        <v>130</v>
      </c>
      <c r="AA830">
        <v>250</v>
      </c>
      <c r="AB830">
        <v>141</v>
      </c>
      <c r="AC830">
        <v>270</v>
      </c>
      <c r="AD830">
        <v>150</v>
      </c>
      <c r="AE830">
        <v>290</v>
      </c>
      <c r="AF830">
        <v>151</v>
      </c>
      <c r="AG830">
        <v>310</v>
      </c>
      <c r="AH830">
        <v>147</v>
      </c>
      <c r="AI830">
        <v>330</v>
      </c>
      <c r="AJ830">
        <v>139</v>
      </c>
      <c r="AK830">
        <v>350</v>
      </c>
      <c r="AL830">
        <v>129</v>
      </c>
      <c r="AM830">
        <v>370</v>
      </c>
      <c r="AN830">
        <v>120</v>
      </c>
      <c r="AO830">
        <v>390</v>
      </c>
      <c r="AP830">
        <v>113</v>
      </c>
      <c r="AQ830">
        <v>410</v>
      </c>
      <c r="AR830">
        <v>111</v>
      </c>
      <c r="AS830">
        <v>430</v>
      </c>
      <c r="AT830">
        <v>113</v>
      </c>
      <c r="AU830">
        <v>450</v>
      </c>
      <c r="AV830">
        <v>119</v>
      </c>
      <c r="AW830">
        <v>470</v>
      </c>
      <c r="AX830">
        <v>125</v>
      </c>
      <c r="AY830">
        <v>490</v>
      </c>
      <c r="AZ830">
        <v>127</v>
      </c>
      <c r="BA830">
        <v>510</v>
      </c>
      <c r="BB830">
        <v>125</v>
      </c>
      <c r="BC830">
        <v>530</v>
      </c>
      <c r="BD830">
        <v>119</v>
      </c>
      <c r="BE830">
        <v>550</v>
      </c>
      <c r="BF830">
        <v>111</v>
      </c>
      <c r="BG830">
        <v>570</v>
      </c>
      <c r="BH830">
        <v>103</v>
      </c>
      <c r="BI830">
        <v>590</v>
      </c>
      <c r="BJ830">
        <v>98</v>
      </c>
      <c r="BK830">
        <v>610</v>
      </c>
      <c r="BL830">
        <v>97</v>
      </c>
      <c r="BM830">
        <v>630</v>
      </c>
      <c r="BN830">
        <v>99</v>
      </c>
      <c r="BO830">
        <v>650</v>
      </c>
      <c r="BP830">
        <v>103</v>
      </c>
      <c r="BQ830">
        <v>670</v>
      </c>
      <c r="BR830">
        <v>107</v>
      </c>
      <c r="BS830">
        <v>690</v>
      </c>
      <c r="BT830">
        <v>108</v>
      </c>
      <c r="BU830">
        <v>710</v>
      </c>
      <c r="BV830">
        <v>107</v>
      </c>
      <c r="BW830">
        <v>730</v>
      </c>
      <c r="BX830">
        <v>103</v>
      </c>
      <c r="BY830">
        <v>750</v>
      </c>
      <c r="BZ830">
        <v>96</v>
      </c>
      <c r="CA830">
        <v>770</v>
      </c>
      <c r="CB830">
        <v>89</v>
      </c>
      <c r="CC830">
        <v>790</v>
      </c>
      <c r="CD830">
        <v>85</v>
      </c>
      <c r="CE830">
        <v>810</v>
      </c>
      <c r="CF830">
        <v>84</v>
      </c>
      <c r="CG830">
        <v>830</v>
      </c>
      <c r="CH830">
        <v>86</v>
      </c>
      <c r="CI830">
        <v>850</v>
      </c>
      <c r="CJ830">
        <v>89</v>
      </c>
      <c r="CK830">
        <v>870</v>
      </c>
      <c r="CL830">
        <v>92</v>
      </c>
      <c r="CM830">
        <v>890</v>
      </c>
      <c r="CN830">
        <v>93</v>
      </c>
      <c r="CO830">
        <v>910</v>
      </c>
      <c r="CP830">
        <v>92</v>
      </c>
      <c r="CQ830">
        <v>930</v>
      </c>
      <c r="CR830">
        <v>89</v>
      </c>
      <c r="CS830">
        <v>950</v>
      </c>
      <c r="CT830">
        <v>83</v>
      </c>
      <c r="CU830">
        <v>970</v>
      </c>
      <c r="CV830">
        <v>76</v>
      </c>
      <c r="CW830">
        <v>990</v>
      </c>
      <c r="CX830">
        <v>73</v>
      </c>
      <c r="CY830">
        <v>1010</v>
      </c>
      <c r="CZ830">
        <v>73</v>
      </c>
      <c r="DA830">
        <v>1030</v>
      </c>
      <c r="DB830">
        <v>74</v>
      </c>
      <c r="DC830">
        <v>1050</v>
      </c>
      <c r="DD830">
        <v>76</v>
      </c>
    </row>
    <row r="831" spans="1:108">
      <c r="D831">
        <f>F831*2+4</f>
        <v>8</v>
      </c>
      <c r="E831" t="s">
        <v>1</v>
      </c>
      <c r="F831" s="6">
        <v>2</v>
      </c>
      <c r="G831" s="24">
        <f>G827</f>
        <v>820</v>
      </c>
      <c r="H831" s="6">
        <f>H827+40</f>
        <v>180</v>
      </c>
      <c r="I831" s="6">
        <f>G831+60</f>
        <v>880</v>
      </c>
      <c r="J831" s="6">
        <f>H831</f>
        <v>180</v>
      </c>
    </row>
    <row r="832" spans="1:108">
      <c r="D832">
        <v>7</v>
      </c>
      <c r="E832" t="s">
        <v>11</v>
      </c>
      <c r="F832" s="6">
        <v>0</v>
      </c>
      <c r="G832" s="6">
        <v>0</v>
      </c>
      <c r="H832" s="6">
        <v>0</v>
      </c>
      <c r="I832" s="6">
        <v>0</v>
      </c>
    </row>
    <row r="833" spans="1:15">
      <c r="D833">
        <v>4</v>
      </c>
      <c r="E833" t="s">
        <v>15</v>
      </c>
      <c r="F833" s="6">
        <v>3</v>
      </c>
    </row>
    <row r="834" spans="1:15">
      <c r="D834">
        <v>8</v>
      </c>
      <c r="E834" t="s">
        <v>14</v>
      </c>
      <c r="F834" s="6">
        <v>0</v>
      </c>
      <c r="G834" s="6">
        <v>2</v>
      </c>
      <c r="H834" s="6">
        <v>0</v>
      </c>
      <c r="I834" s="6">
        <v>0</v>
      </c>
      <c r="J834" s="6">
        <v>0</v>
      </c>
    </row>
    <row r="835" spans="1:15">
      <c r="D835">
        <v>4</v>
      </c>
      <c r="E835" t="s">
        <v>15</v>
      </c>
      <c r="F835" s="6">
        <v>4</v>
      </c>
    </row>
    <row r="836" spans="1:15" s="48" customFormat="1">
      <c r="D836" s="49">
        <v>18</v>
      </c>
      <c r="E836" s="49" t="s">
        <v>111</v>
      </c>
      <c r="F836" s="49">
        <v>20</v>
      </c>
      <c r="G836" s="49">
        <v>40</v>
      </c>
      <c r="H836" s="49">
        <v>200</v>
      </c>
      <c r="I836" s="49">
        <v>1090</v>
      </c>
      <c r="J836" s="49">
        <v>200</v>
      </c>
      <c r="K836" s="6"/>
      <c r="L836" s="6"/>
      <c r="M836" s="6"/>
      <c r="N836" s="6"/>
      <c r="O836" s="6"/>
    </row>
    <row r="837" spans="1:15" s="48" customFormat="1">
      <c r="D837" s="49">
        <v>18</v>
      </c>
      <c r="E837" s="49" t="s">
        <v>111</v>
      </c>
      <c r="F837" s="49">
        <v>20</v>
      </c>
      <c r="G837" s="49">
        <v>50</v>
      </c>
      <c r="H837" s="49">
        <v>210</v>
      </c>
      <c r="I837" s="49">
        <v>50</v>
      </c>
      <c r="J837" s="49">
        <v>10</v>
      </c>
      <c r="K837" s="6"/>
      <c r="L837" s="6"/>
      <c r="M837" s="6"/>
      <c r="N837" s="6"/>
      <c r="O837" s="6"/>
    </row>
    <row r="838" spans="1:15">
      <c r="D838">
        <f>ROUNDUP(6+F838/2,0)</f>
        <v>15</v>
      </c>
      <c r="E838" t="s">
        <v>6</v>
      </c>
      <c r="F838" s="6">
        <f>LEN(G838)</f>
        <v>17</v>
      </c>
      <c r="G838" s="31" t="s">
        <v>92</v>
      </c>
      <c r="H838" s="6">
        <f>C842-40</f>
        <v>10</v>
      </c>
      <c r="I838" s="6">
        <f>B841+15</f>
        <v>65</v>
      </c>
    </row>
    <row r="839" spans="1:15">
      <c r="A839" t="s">
        <v>45</v>
      </c>
      <c r="D839">
        <f>ROUNDUP(6+F839/2,0)</f>
        <v>7</v>
      </c>
      <c r="E839" t="s">
        <v>6</v>
      </c>
      <c r="F839" s="6">
        <f>LEN(G839)</f>
        <v>1</v>
      </c>
      <c r="G839" s="6" t="s">
        <v>22</v>
      </c>
      <c r="H839" s="6">
        <f>B842-20</f>
        <v>180</v>
      </c>
      <c r="I839" s="6">
        <f>C841+45</f>
        <v>1095</v>
      </c>
    </row>
    <row r="840" spans="1:15">
      <c r="B840" t="s">
        <v>40</v>
      </c>
      <c r="C840" t="s">
        <v>41</v>
      </c>
      <c r="D840">
        <v>8</v>
      </c>
      <c r="E840" t="s">
        <v>1</v>
      </c>
      <c r="F840" s="6">
        <v>2</v>
      </c>
      <c r="G840" s="6">
        <f>B841-10</f>
        <v>40</v>
      </c>
      <c r="H840" s="6">
        <f>C842</f>
        <v>50</v>
      </c>
      <c r="I840" s="6">
        <f>B841+10</f>
        <v>60</v>
      </c>
      <c r="J840" s="6">
        <f>H840</f>
        <v>50</v>
      </c>
    </row>
    <row r="841" spans="1:15">
      <c r="A841" t="s">
        <v>2</v>
      </c>
      <c r="B841">
        <v>50</v>
      </c>
      <c r="C841">
        <v>1050</v>
      </c>
      <c r="D841">
        <v>8</v>
      </c>
      <c r="E841" t="s">
        <v>1</v>
      </c>
      <c r="F841" s="6">
        <v>2</v>
      </c>
      <c r="G841" s="24">
        <f>G840</f>
        <v>40</v>
      </c>
      <c r="H841" s="6">
        <f>H840+50</f>
        <v>100</v>
      </c>
      <c r="I841" s="6">
        <f>I840</f>
        <v>60</v>
      </c>
      <c r="J841" s="6">
        <f>H841</f>
        <v>100</v>
      </c>
    </row>
    <row r="842" spans="1:15">
      <c r="A842" t="s">
        <v>3</v>
      </c>
      <c r="B842">
        <v>200</v>
      </c>
      <c r="C842">
        <f>B842-150</f>
        <v>50</v>
      </c>
      <c r="D842">
        <v>8</v>
      </c>
      <c r="E842" t="s">
        <v>1</v>
      </c>
      <c r="F842" s="6">
        <v>2</v>
      </c>
      <c r="G842" s="24">
        <f>G841</f>
        <v>40</v>
      </c>
      <c r="H842" s="6">
        <f>H841+50</f>
        <v>150</v>
      </c>
      <c r="I842" s="6">
        <f>I841</f>
        <v>60</v>
      </c>
      <c r="J842" s="6">
        <f>H842</f>
        <v>150</v>
      </c>
    </row>
    <row r="843" spans="1:15">
      <c r="D843">
        <v>8</v>
      </c>
      <c r="E843" t="s">
        <v>1</v>
      </c>
      <c r="F843" s="6">
        <v>2</v>
      </c>
      <c r="G843" s="6">
        <f>C841</f>
        <v>1050</v>
      </c>
      <c r="H843" s="6">
        <f>B842-10</f>
        <v>190</v>
      </c>
      <c r="I843" s="6">
        <f>G843</f>
        <v>1050</v>
      </c>
      <c r="J843" s="6">
        <f>B842+10</f>
        <v>210</v>
      </c>
    </row>
    <row r="844" spans="1:15">
      <c r="D844">
        <v>8</v>
      </c>
      <c r="E844" t="s">
        <v>1</v>
      </c>
      <c r="F844" s="6">
        <v>2</v>
      </c>
      <c r="G844" s="24">
        <f>G843-200</f>
        <v>850</v>
      </c>
      <c r="H844" s="6">
        <f>H843</f>
        <v>190</v>
      </c>
      <c r="I844" s="6">
        <f>G844</f>
        <v>850</v>
      </c>
      <c r="J844" s="6">
        <f>J843</f>
        <v>210</v>
      </c>
    </row>
    <row r="845" spans="1:15">
      <c r="D845">
        <v>8</v>
      </c>
      <c r="E845" t="s">
        <v>1</v>
      </c>
      <c r="F845" s="6">
        <v>2</v>
      </c>
      <c r="G845" s="24">
        <f>G844-200</f>
        <v>650</v>
      </c>
      <c r="H845" s="6">
        <f t="shared" ref="H845:J847" si="76">H844</f>
        <v>190</v>
      </c>
      <c r="I845" s="6">
        <f>G845</f>
        <v>650</v>
      </c>
      <c r="J845" s="6">
        <f t="shared" si="76"/>
        <v>210</v>
      </c>
    </row>
    <row r="846" spans="1:15">
      <c r="D846">
        <v>8</v>
      </c>
      <c r="E846" t="s">
        <v>1</v>
      </c>
      <c r="F846" s="6">
        <v>2</v>
      </c>
      <c r="G846" s="24">
        <f>G845-200</f>
        <v>450</v>
      </c>
      <c r="H846" s="6">
        <f t="shared" si="76"/>
        <v>190</v>
      </c>
      <c r="I846" s="6">
        <f>G846</f>
        <v>450</v>
      </c>
      <c r="J846" s="6">
        <f t="shared" si="76"/>
        <v>210</v>
      </c>
    </row>
    <row r="847" spans="1:15">
      <c r="D847">
        <v>8</v>
      </c>
      <c r="E847" t="s">
        <v>1</v>
      </c>
      <c r="F847" s="6">
        <v>2</v>
      </c>
      <c r="G847" s="24">
        <f>G846-200</f>
        <v>250</v>
      </c>
      <c r="H847" s="6">
        <f t="shared" si="76"/>
        <v>190</v>
      </c>
      <c r="I847" s="6">
        <f>G847</f>
        <v>250</v>
      </c>
      <c r="J847" s="6">
        <f t="shared" si="76"/>
        <v>210</v>
      </c>
    </row>
    <row r="848" spans="1:15">
      <c r="E848" t="s">
        <v>517</v>
      </c>
      <c r="F848" s="6" t="s">
        <v>550</v>
      </c>
      <c r="G848" s="6">
        <f>B841-50</f>
        <v>0</v>
      </c>
      <c r="H848" s="6">
        <v>35</v>
      </c>
      <c r="I848" s="6">
        <f>H848+50</f>
        <v>85</v>
      </c>
      <c r="J848" s="6">
        <f>I848+50</f>
        <v>135</v>
      </c>
    </row>
    <row r="849" spans="1:24">
      <c r="E849" t="s">
        <v>517</v>
      </c>
      <c r="F849" s="6" t="s">
        <v>551</v>
      </c>
      <c r="G849" s="31">
        <f>C841-150</f>
        <v>900</v>
      </c>
      <c r="H849" s="6">
        <f>C842+70</f>
        <v>120</v>
      </c>
      <c r="I849" s="6">
        <f>H849+40</f>
        <v>160</v>
      </c>
    </row>
    <row r="850" spans="1:24">
      <c r="E850" t="s">
        <v>515</v>
      </c>
      <c r="F850" s="6" t="s">
        <v>552</v>
      </c>
      <c r="G850" s="6">
        <f>C841-5</f>
        <v>1045</v>
      </c>
      <c r="H850" s="6">
        <f>B842+10</f>
        <v>210</v>
      </c>
      <c r="I850" s="6">
        <f>G850-200</f>
        <v>845</v>
      </c>
      <c r="J850" s="6">
        <f>I850-200</f>
        <v>645</v>
      </c>
      <c r="K850" s="6">
        <f>J850-200</f>
        <v>445</v>
      </c>
      <c r="L850" s="6">
        <f>K850-200</f>
        <v>245</v>
      </c>
    </row>
    <row r="853" spans="1:24">
      <c r="A853" s="48" t="s">
        <v>383</v>
      </c>
      <c r="B853" s="1" t="s">
        <v>23</v>
      </c>
      <c r="D853" t="s">
        <v>449</v>
      </c>
      <c r="E853">
        <v>52695</v>
      </c>
      <c r="F853" s="6">
        <v>39622</v>
      </c>
      <c r="G853" s="6">
        <v>0</v>
      </c>
      <c r="H853" s="6">
        <v>0</v>
      </c>
      <c r="I853" s="6">
        <v>0</v>
      </c>
      <c r="J853" s="6">
        <v>1060</v>
      </c>
      <c r="K853" s="6">
        <v>300</v>
      </c>
      <c r="L853" s="6">
        <v>192</v>
      </c>
      <c r="M853" s="6">
        <v>0</v>
      </c>
      <c r="N853" s="6">
        <v>0</v>
      </c>
      <c r="O853" s="6" t="e">
        <f ca="1">checksummeint(G853,H853,I853,J853,K853,L853,M853,N853)</f>
        <v>#NAME?</v>
      </c>
    </row>
    <row r="854" spans="1:24">
      <c r="D854">
        <v>28</v>
      </c>
      <c r="E854" t="s">
        <v>12</v>
      </c>
      <c r="F854" s="6">
        <v>36</v>
      </c>
      <c r="G854" s="6">
        <v>0</v>
      </c>
      <c r="H854" s="6">
        <v>0</v>
      </c>
      <c r="I854" s="6">
        <v>0</v>
      </c>
      <c r="J854" s="6">
        <v>400</v>
      </c>
      <c r="K854" s="6">
        <v>0</v>
      </c>
      <c r="L854" s="6">
        <v>0</v>
      </c>
      <c r="M854" s="6">
        <v>0</v>
      </c>
      <c r="N854" s="6">
        <v>0</v>
      </c>
      <c r="O854" s="6" t="s">
        <v>19</v>
      </c>
    </row>
    <row r="855" spans="1:24">
      <c r="D855">
        <v>4</v>
      </c>
      <c r="E855" t="s">
        <v>15</v>
      </c>
      <c r="F855" s="6">
        <v>0</v>
      </c>
    </row>
    <row r="856" spans="1:24">
      <c r="D856">
        <v>8</v>
      </c>
      <c r="E856" t="s">
        <v>14</v>
      </c>
      <c r="F856" s="6">
        <v>0</v>
      </c>
      <c r="G856" s="6">
        <v>2</v>
      </c>
      <c r="H856" s="6">
        <v>0</v>
      </c>
      <c r="I856" s="6">
        <v>0</v>
      </c>
      <c r="J856" s="6">
        <v>0</v>
      </c>
    </row>
    <row r="857" spans="1:24">
      <c r="D857">
        <v>4</v>
      </c>
      <c r="E857" t="s">
        <v>15</v>
      </c>
      <c r="F857" s="6">
        <v>1</v>
      </c>
    </row>
    <row r="858" spans="1:24">
      <c r="D858">
        <v>5</v>
      </c>
      <c r="E858" s="48" t="s">
        <v>59</v>
      </c>
      <c r="F858" s="6">
        <v>1</v>
      </c>
      <c r="G858" s="6">
        <v>0</v>
      </c>
    </row>
    <row r="859" spans="1:24">
      <c r="D859">
        <v>7</v>
      </c>
      <c r="E859" t="s">
        <v>11</v>
      </c>
      <c r="F859" s="6">
        <v>0</v>
      </c>
      <c r="G859" s="6">
        <f>255*256+192</f>
        <v>65472</v>
      </c>
      <c r="H859" s="6">
        <v>192</v>
      </c>
      <c r="I859" s="6">
        <v>0</v>
      </c>
    </row>
    <row r="860" spans="1:24">
      <c r="D860">
        <v>4</v>
      </c>
      <c r="E860" t="s">
        <v>15</v>
      </c>
      <c r="F860" s="6">
        <v>2</v>
      </c>
    </row>
    <row r="861" spans="1:24">
      <c r="D861">
        <v>22</v>
      </c>
      <c r="E861" t="s">
        <v>4</v>
      </c>
      <c r="F861" s="6">
        <v>9</v>
      </c>
      <c r="G861" s="6">
        <v>550</v>
      </c>
      <c r="H861" s="6">
        <v>250</v>
      </c>
      <c r="I861" s="6">
        <v>550</v>
      </c>
      <c r="J861" s="6">
        <v>50</v>
      </c>
      <c r="K861" s="6">
        <v>327</v>
      </c>
      <c r="L861" s="6">
        <v>50</v>
      </c>
      <c r="M861" s="6">
        <v>235</v>
      </c>
      <c r="N861" s="6">
        <v>50</v>
      </c>
      <c r="O861" s="6">
        <v>235</v>
      </c>
      <c r="P861">
        <v>117</v>
      </c>
      <c r="Q861">
        <v>198</v>
      </c>
      <c r="R861">
        <v>117</v>
      </c>
      <c r="S861">
        <v>198</v>
      </c>
      <c r="T861">
        <v>183</v>
      </c>
      <c r="U861">
        <v>50</v>
      </c>
      <c r="V861">
        <v>183</v>
      </c>
      <c r="W861">
        <v>50</v>
      </c>
      <c r="X861">
        <v>250</v>
      </c>
    </row>
    <row r="862" spans="1:24">
      <c r="D862">
        <v>22</v>
      </c>
      <c r="E862" t="s">
        <v>4</v>
      </c>
      <c r="F862" s="6">
        <v>9</v>
      </c>
      <c r="G862" s="6">
        <v>1050</v>
      </c>
      <c r="H862" s="6">
        <v>110</v>
      </c>
      <c r="I862" s="6">
        <v>1050</v>
      </c>
      <c r="J862" s="6">
        <v>10</v>
      </c>
      <c r="K862" s="6">
        <v>938</v>
      </c>
      <c r="L862" s="6">
        <v>10</v>
      </c>
      <c r="M862" s="6">
        <v>892</v>
      </c>
      <c r="N862" s="6">
        <v>10</v>
      </c>
      <c r="O862" s="6">
        <v>892</v>
      </c>
      <c r="P862">
        <v>43</v>
      </c>
      <c r="Q862">
        <v>874</v>
      </c>
      <c r="R862">
        <v>43</v>
      </c>
      <c r="S862">
        <v>874</v>
      </c>
      <c r="T862">
        <v>77</v>
      </c>
      <c r="U862">
        <v>800</v>
      </c>
      <c r="V862">
        <v>77</v>
      </c>
      <c r="W862">
        <v>800</v>
      </c>
      <c r="X862">
        <v>110</v>
      </c>
    </row>
    <row r="863" spans="1:24">
      <c r="D863">
        <v>7</v>
      </c>
      <c r="E863" t="s">
        <v>5</v>
      </c>
      <c r="F863" s="6">
        <f>H863+100</f>
        <v>250</v>
      </c>
      <c r="G863" s="24">
        <f>G862</f>
        <v>1050</v>
      </c>
      <c r="H863" s="6">
        <f>H862+40</f>
        <v>150</v>
      </c>
      <c r="I863" s="6">
        <f>W862</f>
        <v>800</v>
      </c>
    </row>
    <row r="864" spans="1:24">
      <c r="D864">
        <v>7</v>
      </c>
      <c r="E864" t="s">
        <v>11</v>
      </c>
      <c r="F864" s="6">
        <v>0</v>
      </c>
      <c r="G864" s="6">
        <v>0</v>
      </c>
      <c r="H864" s="6">
        <v>0</v>
      </c>
      <c r="I864" s="6">
        <v>0</v>
      </c>
    </row>
    <row r="865" spans="1:15">
      <c r="D865">
        <v>4</v>
      </c>
      <c r="E865" t="s">
        <v>15</v>
      </c>
      <c r="F865" s="6">
        <v>3</v>
      </c>
    </row>
    <row r="866" spans="1:15" s="48" customFormat="1">
      <c r="D866" s="49">
        <v>18</v>
      </c>
      <c r="E866" s="49" t="s">
        <v>111</v>
      </c>
      <c r="F866" s="49">
        <v>20</v>
      </c>
      <c r="G866" s="49">
        <v>40</v>
      </c>
      <c r="H866" s="49">
        <v>250</v>
      </c>
      <c r="I866" s="49">
        <v>590</v>
      </c>
      <c r="J866" s="49">
        <v>250</v>
      </c>
      <c r="K866" s="6"/>
      <c r="L866" s="6"/>
      <c r="M866" s="6"/>
      <c r="N866" s="6"/>
      <c r="O866" s="6"/>
    </row>
    <row r="867" spans="1:15" s="48" customFormat="1">
      <c r="D867" s="49">
        <v>18</v>
      </c>
      <c r="E867" s="49" t="s">
        <v>111</v>
      </c>
      <c r="F867" s="49">
        <v>20</v>
      </c>
      <c r="G867" s="49">
        <v>50</v>
      </c>
      <c r="H867" s="49">
        <v>260</v>
      </c>
      <c r="I867" s="49">
        <v>50</v>
      </c>
      <c r="J867" s="49">
        <v>10</v>
      </c>
      <c r="K867" s="6"/>
      <c r="L867" s="6"/>
      <c r="M867" s="6"/>
      <c r="N867" s="6"/>
      <c r="O867" s="6"/>
    </row>
    <row r="868" spans="1:15">
      <c r="D868">
        <f>ROUNDUP(6+F868/2,0)</f>
        <v>7</v>
      </c>
      <c r="E868" t="s">
        <v>6</v>
      </c>
      <c r="F868" s="6">
        <f>LEN(G868)</f>
        <v>1</v>
      </c>
      <c r="G868" s="6" t="s">
        <v>21</v>
      </c>
      <c r="H868" s="6">
        <f>C872-40</f>
        <v>10</v>
      </c>
      <c r="I868" s="6">
        <f>B871+15</f>
        <v>65</v>
      </c>
    </row>
    <row r="869" spans="1:15">
      <c r="A869" t="s">
        <v>45</v>
      </c>
      <c r="D869">
        <f>ROUNDUP(6+F869/2,0)</f>
        <v>12</v>
      </c>
      <c r="E869" t="s">
        <v>6</v>
      </c>
      <c r="F869" s="6">
        <f>LEN(G869)</f>
        <v>12</v>
      </c>
      <c r="G869" s="6" t="s">
        <v>23</v>
      </c>
      <c r="H869" s="6">
        <v>10</v>
      </c>
      <c r="I869" s="6">
        <v>200</v>
      </c>
    </row>
    <row r="870" spans="1:15">
      <c r="B870" t="s">
        <v>40</v>
      </c>
      <c r="C870" t="s">
        <v>41</v>
      </c>
      <c r="D870">
        <f>ROUNDUP(6+F870/2,0)</f>
        <v>7</v>
      </c>
      <c r="E870" t="s">
        <v>6</v>
      </c>
      <c r="F870" s="6">
        <f>LEN(G870)</f>
        <v>1</v>
      </c>
      <c r="G870" s="6" t="s">
        <v>22</v>
      </c>
      <c r="H870" s="6">
        <f>B872+30</f>
        <v>230</v>
      </c>
      <c r="I870" s="6">
        <f>C871+45</f>
        <v>595</v>
      </c>
    </row>
    <row r="871" spans="1:15">
      <c r="A871" t="s">
        <v>2</v>
      </c>
      <c r="B871">
        <v>50</v>
      </c>
      <c r="C871">
        <f>B871+500</f>
        <v>550</v>
      </c>
      <c r="D871">
        <v>8</v>
      </c>
      <c r="E871" t="s">
        <v>1</v>
      </c>
      <c r="F871" s="6">
        <v>2</v>
      </c>
      <c r="G871" s="6">
        <f>B871-10</f>
        <v>40</v>
      </c>
      <c r="H871" s="6">
        <f>C872</f>
        <v>50</v>
      </c>
      <c r="I871" s="6">
        <f>B871+10</f>
        <v>60</v>
      </c>
      <c r="J871" s="6">
        <f>H871</f>
        <v>50</v>
      </c>
    </row>
    <row r="872" spans="1:15">
      <c r="A872" t="s">
        <v>3</v>
      </c>
      <c r="B872">
        <v>200</v>
      </c>
      <c r="C872">
        <f>B872-150</f>
        <v>50</v>
      </c>
      <c r="D872">
        <v>8</v>
      </c>
      <c r="E872" t="s">
        <v>1</v>
      </c>
      <c r="F872" s="6">
        <v>2</v>
      </c>
      <c r="G872" s="24">
        <f>G871</f>
        <v>40</v>
      </c>
      <c r="H872" s="6">
        <f>H871+67</f>
        <v>117</v>
      </c>
      <c r="I872" s="24">
        <f>I871</f>
        <v>60</v>
      </c>
      <c r="J872" s="6">
        <f>J871+67</f>
        <v>117</v>
      </c>
    </row>
    <row r="873" spans="1:15">
      <c r="D873">
        <v>8</v>
      </c>
      <c r="E873" t="s">
        <v>1</v>
      </c>
      <c r="F873" s="6">
        <v>2</v>
      </c>
      <c r="G873" s="24">
        <f>G872</f>
        <v>40</v>
      </c>
      <c r="H873" s="6">
        <f>H872+66</f>
        <v>183</v>
      </c>
      <c r="I873" s="24">
        <f>I872</f>
        <v>60</v>
      </c>
      <c r="J873" s="6">
        <f>J872+66</f>
        <v>183</v>
      </c>
    </row>
    <row r="874" spans="1:15">
      <c r="D874">
        <v>8</v>
      </c>
      <c r="E874" t="s">
        <v>1</v>
      </c>
      <c r="F874" s="6">
        <v>2</v>
      </c>
      <c r="G874" s="6">
        <f>C871</f>
        <v>550</v>
      </c>
      <c r="H874" s="6">
        <f>B872-10</f>
        <v>190</v>
      </c>
      <c r="I874" s="6">
        <f>G874</f>
        <v>550</v>
      </c>
      <c r="J874" s="6">
        <f>B872+10</f>
        <v>210</v>
      </c>
    </row>
    <row r="875" spans="1:15">
      <c r="E875" t="s">
        <v>517</v>
      </c>
      <c r="F875" s="6" t="s">
        <v>553</v>
      </c>
      <c r="G875" s="6">
        <f>B871-50</f>
        <v>0</v>
      </c>
      <c r="H875" s="6">
        <v>35</v>
      </c>
      <c r="I875" s="6">
        <f>H875+67</f>
        <v>102</v>
      </c>
      <c r="J875" s="6">
        <f>I875+66</f>
        <v>168</v>
      </c>
      <c r="K875" s="6">
        <f>J875+67</f>
        <v>235</v>
      </c>
    </row>
    <row r="876" spans="1:15">
      <c r="D876">
        <v>8</v>
      </c>
      <c r="E876" t="s">
        <v>1</v>
      </c>
      <c r="F876" s="6">
        <v>2</v>
      </c>
      <c r="G876" s="6">
        <v>550</v>
      </c>
      <c r="H876" s="6">
        <v>240</v>
      </c>
      <c r="I876" s="6">
        <f>G876</f>
        <v>550</v>
      </c>
      <c r="J876" s="6">
        <v>260</v>
      </c>
    </row>
    <row r="877" spans="1:15">
      <c r="D877">
        <v>8</v>
      </c>
      <c r="E877" t="s">
        <v>1</v>
      </c>
      <c r="F877" s="6">
        <v>2</v>
      </c>
      <c r="G877" s="6">
        <v>327</v>
      </c>
      <c r="H877" s="6">
        <v>240</v>
      </c>
      <c r="I877" s="6">
        <f>G877</f>
        <v>327</v>
      </c>
      <c r="J877" s="6">
        <v>260</v>
      </c>
    </row>
    <row r="878" spans="1:15">
      <c r="D878">
        <v>8</v>
      </c>
      <c r="E878" t="s">
        <v>1</v>
      </c>
      <c r="F878" s="6">
        <v>2</v>
      </c>
      <c r="G878" s="6">
        <v>235</v>
      </c>
      <c r="H878" s="6">
        <v>240</v>
      </c>
      <c r="I878" s="6">
        <f>G878</f>
        <v>235</v>
      </c>
      <c r="J878" s="6">
        <v>260</v>
      </c>
    </row>
    <row r="879" spans="1:15">
      <c r="E879" t="s">
        <v>515</v>
      </c>
      <c r="F879" s="6" t="s">
        <v>554</v>
      </c>
      <c r="G879" s="6">
        <v>525</v>
      </c>
      <c r="H879" s="6">
        <f>J876</f>
        <v>260</v>
      </c>
      <c r="I879" s="6">
        <v>320</v>
      </c>
      <c r="J879" s="6">
        <v>230</v>
      </c>
      <c r="K879" s="6">
        <v>45</v>
      </c>
    </row>
    <row r="880" spans="1:15">
      <c r="D880">
        <v>7</v>
      </c>
      <c r="E880" t="s">
        <v>0</v>
      </c>
      <c r="F880" s="6">
        <v>60</v>
      </c>
      <c r="G880" s="24">
        <v>540</v>
      </c>
      <c r="H880" s="6">
        <v>40</v>
      </c>
      <c r="I880" s="6">
        <v>560</v>
      </c>
    </row>
    <row r="881" spans="4:15">
      <c r="D881">
        <v>7</v>
      </c>
      <c r="E881" t="s">
        <v>0</v>
      </c>
      <c r="F881" s="6">
        <v>60</v>
      </c>
      <c r="G881" s="24">
        <v>317</v>
      </c>
      <c r="H881" s="6">
        <v>40</v>
      </c>
      <c r="I881" s="6">
        <v>337</v>
      </c>
    </row>
    <row r="882" spans="4:15">
      <c r="D882">
        <v>7</v>
      </c>
      <c r="E882" t="s">
        <v>0</v>
      </c>
      <c r="F882" s="6">
        <v>107</v>
      </c>
      <c r="G882" s="24">
        <v>225</v>
      </c>
      <c r="H882" s="6">
        <v>127</v>
      </c>
      <c r="I882" s="6">
        <v>245</v>
      </c>
    </row>
    <row r="883" spans="4:15">
      <c r="D883">
        <f>ROUNDUP(6+F883/2,0)</f>
        <v>13</v>
      </c>
      <c r="E883" t="s">
        <v>6</v>
      </c>
      <c r="F883" s="6">
        <f>LEN(G883)</f>
        <v>13</v>
      </c>
      <c r="G883" s="6" t="s">
        <v>94</v>
      </c>
      <c r="H883" s="6">
        <f>F880</f>
        <v>60</v>
      </c>
      <c r="I883" s="6">
        <v>380</v>
      </c>
    </row>
    <row r="884" spans="4:15">
      <c r="D884">
        <f>ROUNDUP(6+F884/2,0)</f>
        <v>11</v>
      </c>
      <c r="E884" t="s">
        <v>6</v>
      </c>
      <c r="F884" s="6">
        <f>LEN(G884)</f>
        <v>10</v>
      </c>
      <c r="G884" s="6" t="s">
        <v>95</v>
      </c>
      <c r="H884" s="6">
        <f>F881</f>
        <v>60</v>
      </c>
      <c r="I884" s="6">
        <v>240</v>
      </c>
    </row>
    <row r="885" spans="4:15">
      <c r="D885">
        <f>ROUNDUP(6+F885/2,0)</f>
        <v>11</v>
      </c>
      <c r="E885" t="s">
        <v>6</v>
      </c>
      <c r="F885" s="6">
        <f>LEN(G885)</f>
        <v>10</v>
      </c>
      <c r="G885" s="6" t="s">
        <v>96</v>
      </c>
      <c r="H885" s="6">
        <f>F882</f>
        <v>107</v>
      </c>
      <c r="I885" s="6">
        <v>250</v>
      </c>
    </row>
    <row r="886" spans="4:15">
      <c r="D886">
        <v>28</v>
      </c>
      <c r="E886" t="s">
        <v>12</v>
      </c>
      <c r="F886" s="6">
        <v>24</v>
      </c>
      <c r="G886" s="6">
        <v>0</v>
      </c>
      <c r="H886" s="6">
        <v>0</v>
      </c>
      <c r="I886" s="6">
        <v>0</v>
      </c>
      <c r="J886" s="6">
        <v>400</v>
      </c>
      <c r="K886" s="6">
        <v>0</v>
      </c>
      <c r="L886" s="6">
        <v>0</v>
      </c>
      <c r="M886" s="6">
        <v>0</v>
      </c>
      <c r="N886" s="6">
        <v>0</v>
      </c>
      <c r="O886" s="6" t="s">
        <v>19</v>
      </c>
    </row>
    <row r="887" spans="4:15">
      <c r="D887">
        <v>4</v>
      </c>
      <c r="E887" t="s">
        <v>15</v>
      </c>
      <c r="F887" s="6">
        <v>4</v>
      </c>
    </row>
    <row r="888" spans="4:15">
      <c r="E888" t="s">
        <v>515</v>
      </c>
      <c r="F888" s="6" t="s">
        <v>555</v>
      </c>
      <c r="G888" s="6">
        <f>I883+12</f>
        <v>392</v>
      </c>
      <c r="H888" s="6">
        <f>H883+20</f>
        <v>80</v>
      </c>
      <c r="I888" s="6">
        <f>I884+12</f>
        <v>252</v>
      </c>
    </row>
    <row r="889" spans="4:15">
      <c r="D889">
        <f>ROUNDUP(6+F889/2,0)</f>
        <v>7</v>
      </c>
      <c r="E889" t="s">
        <v>6</v>
      </c>
      <c r="F889" s="6">
        <f>LEN(G889)</f>
        <v>1</v>
      </c>
      <c r="G889" s="6">
        <v>3</v>
      </c>
      <c r="H889" s="6">
        <f>H885+20</f>
        <v>127</v>
      </c>
      <c r="I889" s="6">
        <f>I885+12</f>
        <v>262</v>
      </c>
    </row>
    <row r="890" spans="4:15">
      <c r="D890">
        <v>28</v>
      </c>
      <c r="E890" t="s">
        <v>12</v>
      </c>
      <c r="F890" s="6">
        <v>180</v>
      </c>
      <c r="G890" s="6">
        <v>0</v>
      </c>
      <c r="H890" s="6">
        <v>0</v>
      </c>
      <c r="I890" s="6">
        <v>0</v>
      </c>
      <c r="J890" s="6">
        <v>400</v>
      </c>
      <c r="K890" s="6">
        <v>0</v>
      </c>
      <c r="L890" s="6">
        <v>0</v>
      </c>
      <c r="M890" s="6">
        <v>0</v>
      </c>
      <c r="N890" s="6">
        <v>0</v>
      </c>
      <c r="O890" s="6" t="s">
        <v>19</v>
      </c>
    </row>
    <row r="891" spans="4:15">
      <c r="D891">
        <v>4</v>
      </c>
      <c r="E891" t="s">
        <v>15</v>
      </c>
      <c r="F891" s="6">
        <v>5</v>
      </c>
    </row>
    <row r="892" spans="4:15">
      <c r="D892">
        <f>ROUNDUP(6+F892/2,0)</f>
        <v>8</v>
      </c>
      <c r="E892" t="s">
        <v>6</v>
      </c>
      <c r="F892" s="6">
        <f>LEN(G892)</f>
        <v>3</v>
      </c>
      <c r="G892" s="6" t="s">
        <v>97</v>
      </c>
      <c r="H892" s="6">
        <v>45</v>
      </c>
      <c r="I892" s="6">
        <v>600</v>
      </c>
    </row>
    <row r="893" spans="4:15">
      <c r="D893">
        <v>8</v>
      </c>
      <c r="E893" t="s">
        <v>14</v>
      </c>
      <c r="F893" s="6">
        <v>0</v>
      </c>
      <c r="G893" s="6">
        <v>10</v>
      </c>
      <c r="H893" s="6">
        <v>0</v>
      </c>
      <c r="I893" s="6">
        <v>0</v>
      </c>
      <c r="J893" s="6">
        <v>0</v>
      </c>
    </row>
    <row r="894" spans="4:15">
      <c r="D894">
        <v>4</v>
      </c>
      <c r="E894" t="s">
        <v>15</v>
      </c>
      <c r="F894" s="6">
        <v>6</v>
      </c>
    </row>
    <row r="895" spans="4:15">
      <c r="D895">
        <v>8</v>
      </c>
      <c r="E895" t="s">
        <v>1</v>
      </c>
      <c r="F895" s="6">
        <v>2</v>
      </c>
      <c r="G895" s="6">
        <f>G862</f>
        <v>1050</v>
      </c>
      <c r="H895" s="6">
        <f>H862+20</f>
        <v>130</v>
      </c>
      <c r="I895" s="6">
        <f>W862</f>
        <v>800</v>
      </c>
      <c r="J895" s="6">
        <f>H895</f>
        <v>130</v>
      </c>
    </row>
    <row r="899" spans="1:48">
      <c r="A899" s="48" t="s">
        <v>383</v>
      </c>
      <c r="B899" s="48" t="s">
        <v>791</v>
      </c>
      <c r="C899" s="48"/>
      <c r="D899" s="48" t="s">
        <v>449</v>
      </c>
      <c r="E899" s="48">
        <v>52695</v>
      </c>
      <c r="F899" s="6">
        <v>39622</v>
      </c>
      <c r="G899" s="6">
        <v>0</v>
      </c>
      <c r="H899" s="6">
        <v>0</v>
      </c>
      <c r="I899" s="6">
        <v>0</v>
      </c>
      <c r="J899" s="6">
        <v>1220</v>
      </c>
      <c r="K899" s="6">
        <v>264</v>
      </c>
      <c r="L899" s="6">
        <v>192</v>
      </c>
      <c r="M899" s="6">
        <v>0</v>
      </c>
      <c r="N899" s="6">
        <v>0</v>
      </c>
      <c r="O899" s="6" t="e">
        <f ca="1">checksummeint(G899,H899,I899,J899,K899,L899,M899,N899)</f>
        <v>#NAME?</v>
      </c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</row>
    <row r="900" spans="1:48">
      <c r="B900" s="48"/>
      <c r="C900" s="48"/>
      <c r="D900" s="48">
        <v>28</v>
      </c>
      <c r="E900" s="48" t="s">
        <v>12</v>
      </c>
      <c r="F900" s="6">
        <v>36</v>
      </c>
      <c r="G900" s="6">
        <v>0</v>
      </c>
      <c r="H900" s="6">
        <v>0</v>
      </c>
      <c r="I900" s="6">
        <v>0</v>
      </c>
      <c r="J900" s="6">
        <v>400</v>
      </c>
      <c r="K900" s="6">
        <v>0</v>
      </c>
      <c r="L900" s="6">
        <v>0</v>
      </c>
      <c r="M900" s="6">
        <v>0</v>
      </c>
      <c r="N900" s="6">
        <v>0</v>
      </c>
      <c r="O900" s="6" t="s">
        <v>19</v>
      </c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</row>
    <row r="901" spans="1:48">
      <c r="A901" s="48"/>
      <c r="B901" s="48"/>
      <c r="C901" s="48"/>
      <c r="D901" s="48">
        <v>4</v>
      </c>
      <c r="E901" s="48" t="s">
        <v>15</v>
      </c>
      <c r="F901" s="6">
        <v>0</v>
      </c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</row>
    <row r="902" spans="1:48">
      <c r="A902" s="48"/>
      <c r="B902" s="48"/>
      <c r="C902" s="48"/>
      <c r="D902" s="48">
        <v>8</v>
      </c>
      <c r="E902" s="48" t="s">
        <v>14</v>
      </c>
      <c r="F902" s="6">
        <v>0</v>
      </c>
      <c r="G902" s="6">
        <v>2</v>
      </c>
      <c r="H902" s="6">
        <v>0</v>
      </c>
      <c r="I902" s="6">
        <v>0</v>
      </c>
      <c r="J902" s="6">
        <v>0</v>
      </c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</row>
    <row r="903" spans="1:48">
      <c r="A903" s="48"/>
      <c r="B903" s="48"/>
      <c r="C903" s="48"/>
      <c r="D903" s="48">
        <v>4</v>
      </c>
      <c r="E903" s="48" t="s">
        <v>15</v>
      </c>
      <c r="F903" s="6">
        <v>1</v>
      </c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</row>
    <row r="904" spans="1:48">
      <c r="A904" s="48"/>
      <c r="B904" s="48"/>
      <c r="C904" s="48"/>
      <c r="D904" s="48">
        <v>7</v>
      </c>
      <c r="E904" s="48" t="s">
        <v>11</v>
      </c>
      <c r="F904" s="6">
        <v>0</v>
      </c>
      <c r="G904" s="6">
        <v>0</v>
      </c>
      <c r="H904" s="6">
        <v>0</v>
      </c>
      <c r="I904" s="6">
        <v>0</v>
      </c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</row>
    <row r="905" spans="1:48">
      <c r="A905" s="48"/>
      <c r="B905" s="48"/>
      <c r="C905" s="48"/>
      <c r="D905" s="48">
        <v>4</v>
      </c>
      <c r="E905" s="48" t="s">
        <v>15</v>
      </c>
      <c r="F905" s="6">
        <v>2</v>
      </c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</row>
    <row r="906" spans="1:48" s="48" customFormat="1">
      <c r="D906" s="48">
        <v>5</v>
      </c>
      <c r="E906" s="48" t="s">
        <v>59</v>
      </c>
      <c r="F906" s="48">
        <v>1</v>
      </c>
      <c r="G906" s="48">
        <v>0</v>
      </c>
      <c r="H906" s="6"/>
      <c r="I906" s="6"/>
      <c r="J906" s="6"/>
      <c r="K906" s="6"/>
      <c r="L906" s="6"/>
      <c r="M906" s="6"/>
      <c r="N906" s="6"/>
      <c r="O906" s="6"/>
    </row>
    <row r="907" spans="1:48" s="48" customFormat="1">
      <c r="D907" s="49">
        <v>18</v>
      </c>
      <c r="E907" s="49" t="s">
        <v>111</v>
      </c>
      <c r="F907" s="49">
        <v>20</v>
      </c>
      <c r="G907" s="49">
        <v>60</v>
      </c>
      <c r="H907" s="49">
        <v>200</v>
      </c>
      <c r="I907" s="49">
        <v>610</v>
      </c>
      <c r="J907" s="49">
        <v>200</v>
      </c>
      <c r="K907" s="6"/>
      <c r="L907" s="6"/>
      <c r="M907" s="6"/>
      <c r="N907" s="6"/>
      <c r="O907" s="6"/>
    </row>
    <row r="908" spans="1:48">
      <c r="A908" s="48"/>
      <c r="B908" s="48"/>
      <c r="C908" s="48"/>
      <c r="D908" s="49">
        <v>18</v>
      </c>
      <c r="E908" s="49" t="s">
        <v>111</v>
      </c>
      <c r="F908" s="49">
        <v>20</v>
      </c>
      <c r="G908" s="49">
        <v>70</v>
      </c>
      <c r="H908" s="49">
        <v>210</v>
      </c>
      <c r="I908" s="49">
        <v>70</v>
      </c>
      <c r="J908" s="49">
        <v>10</v>
      </c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</row>
    <row r="909" spans="1:48">
      <c r="A909" s="48"/>
      <c r="B909" s="48"/>
      <c r="C909" s="48"/>
      <c r="D909" s="48">
        <f>ROUNDUP(6+F909/2,0)</f>
        <v>26</v>
      </c>
      <c r="E909" s="48" t="s">
        <v>6</v>
      </c>
      <c r="F909" s="6">
        <f>LEN(G909)</f>
        <v>39</v>
      </c>
      <c r="G909" s="6" t="s">
        <v>101</v>
      </c>
      <c r="H909" s="6">
        <f>J908</f>
        <v>10</v>
      </c>
      <c r="I909" s="6">
        <f>G907+25</f>
        <v>85</v>
      </c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</row>
    <row r="910" spans="1:48" s="48" customFormat="1">
      <c r="D910" s="48">
        <f>ROUNDUP(6+F910/2,0)</f>
        <v>7</v>
      </c>
      <c r="E910" s="48" t="s">
        <v>6</v>
      </c>
      <c r="F910" s="6">
        <f>LEN(G910)</f>
        <v>1</v>
      </c>
      <c r="G910" s="6" t="s">
        <v>22</v>
      </c>
      <c r="H910" s="6">
        <f>H907+10</f>
        <v>210</v>
      </c>
      <c r="I910" s="6">
        <f>I907-20</f>
        <v>590</v>
      </c>
      <c r="J910" s="6"/>
      <c r="K910" s="6"/>
      <c r="L910" s="6"/>
      <c r="M910" s="6"/>
      <c r="N910" s="6"/>
      <c r="O910" s="6"/>
    </row>
    <row r="911" spans="1:48" s="48" customFormat="1">
      <c r="D911" s="49">
        <v>18</v>
      </c>
      <c r="E911" s="49" t="s">
        <v>111</v>
      </c>
      <c r="F911" s="49">
        <v>20</v>
      </c>
      <c r="G911" s="49">
        <f>G907+600</f>
        <v>660</v>
      </c>
      <c r="H911" s="49">
        <f>H907</f>
        <v>200</v>
      </c>
      <c r="I911" s="49">
        <f>I907+600</f>
        <v>1210</v>
      </c>
      <c r="J911" s="49">
        <f>J907</f>
        <v>200</v>
      </c>
      <c r="K911" s="6"/>
      <c r="L911" s="6"/>
      <c r="M911" s="6"/>
      <c r="N911" s="6"/>
      <c r="O911" s="6"/>
    </row>
    <row r="912" spans="1:48">
      <c r="A912" s="48"/>
      <c r="B912" s="48"/>
      <c r="C912" s="48"/>
      <c r="D912" s="49">
        <v>18</v>
      </c>
      <c r="E912" s="49" t="s">
        <v>111</v>
      </c>
      <c r="F912" s="49">
        <v>20</v>
      </c>
      <c r="G912" s="49">
        <f>G908+600</f>
        <v>670</v>
      </c>
      <c r="H912" s="49">
        <f>H908</f>
        <v>210</v>
      </c>
      <c r="I912" s="49">
        <f>I908+600</f>
        <v>670</v>
      </c>
      <c r="J912" s="49">
        <f>J908</f>
        <v>10</v>
      </c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</row>
    <row r="913" spans="1:48">
      <c r="A913" s="48"/>
      <c r="B913" s="48"/>
      <c r="C913" s="48"/>
      <c r="D913" s="48">
        <f>ROUNDUP(6+F913/2,0)</f>
        <v>25</v>
      </c>
      <c r="E913" s="48" t="s">
        <v>6</v>
      </c>
      <c r="F913" s="6">
        <f>LEN(G913)</f>
        <v>38</v>
      </c>
      <c r="G913" s="6" t="s">
        <v>102</v>
      </c>
      <c r="H913" s="6">
        <f>J912</f>
        <v>10</v>
      </c>
      <c r="I913" s="6">
        <f>G911+25</f>
        <v>685</v>
      </c>
      <c r="J913" s="6">
        <v>0</v>
      </c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</row>
    <row r="914" spans="1:48">
      <c r="A914" s="48"/>
      <c r="B914" s="48"/>
      <c r="C914" s="48"/>
      <c r="D914" s="48">
        <f>ROUNDUP(6+F914/2,0)</f>
        <v>7</v>
      </c>
      <c r="E914" s="48" t="s">
        <v>6</v>
      </c>
      <c r="F914" s="6">
        <f>LEN(G914)</f>
        <v>1</v>
      </c>
      <c r="G914" s="6" t="s">
        <v>22</v>
      </c>
      <c r="H914" s="6">
        <f>H911+10</f>
        <v>210</v>
      </c>
      <c r="I914" s="6">
        <f>I911-20</f>
        <v>1190</v>
      </c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</row>
    <row r="915" spans="1:48">
      <c r="A915" s="48"/>
      <c r="B915" s="48"/>
      <c r="C915" s="48"/>
      <c r="D915" s="48">
        <v>8</v>
      </c>
      <c r="E915" s="48" t="s">
        <v>14</v>
      </c>
      <c r="F915" s="6">
        <v>0</v>
      </c>
      <c r="G915" s="6">
        <v>1</v>
      </c>
      <c r="H915" s="6">
        <v>0</v>
      </c>
      <c r="I915" s="6">
        <v>0</v>
      </c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</row>
    <row r="916" spans="1:48">
      <c r="A916" s="48"/>
      <c r="B916" s="48"/>
      <c r="C916" s="48"/>
      <c r="D916" s="48">
        <v>4</v>
      </c>
      <c r="E916" s="48" t="s">
        <v>15</v>
      </c>
      <c r="F916" s="6">
        <v>3</v>
      </c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</row>
    <row r="917" spans="1:48">
      <c r="A917" s="48"/>
      <c r="B917" s="48"/>
      <c r="C917" s="48"/>
      <c r="D917" s="48">
        <v>7</v>
      </c>
      <c r="E917" s="48" t="s">
        <v>11</v>
      </c>
      <c r="F917" s="6">
        <v>0</v>
      </c>
      <c r="G917" s="6">
        <f>255*256+192</f>
        <v>65472</v>
      </c>
      <c r="H917" s="6">
        <v>192</v>
      </c>
      <c r="I917" s="6">
        <v>0</v>
      </c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</row>
    <row r="918" spans="1:48">
      <c r="A918" s="48"/>
      <c r="B918" s="48"/>
      <c r="C918" s="48"/>
      <c r="D918" s="48">
        <v>4</v>
      </c>
      <c r="E918" s="48" t="s">
        <v>15</v>
      </c>
      <c r="F918" s="6">
        <v>4</v>
      </c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</row>
    <row r="919" spans="1:48">
      <c r="A919" s="48"/>
      <c r="B919" s="48" t="s">
        <v>23</v>
      </c>
      <c r="C919" s="48"/>
      <c r="D919" s="48">
        <f>F919*2+4</f>
        <v>10</v>
      </c>
      <c r="E919" s="48" t="s">
        <v>4</v>
      </c>
      <c r="F919" s="6">
        <v>3</v>
      </c>
      <c r="G919" s="6">
        <v>70</v>
      </c>
      <c r="H919" s="6">
        <v>200</v>
      </c>
      <c r="I919" s="6">
        <f>G919+500</f>
        <v>570</v>
      </c>
      <c r="J919" s="6">
        <v>50</v>
      </c>
      <c r="K919" s="6">
        <f>I919</f>
        <v>570</v>
      </c>
      <c r="L919" s="6">
        <f>H919</f>
        <v>200</v>
      </c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</row>
    <row r="920" spans="1:48">
      <c r="A920" s="48"/>
      <c r="B920" s="48"/>
      <c r="C920" s="48"/>
      <c r="D920" s="48">
        <f>F920*2+4</f>
        <v>10</v>
      </c>
      <c r="E920" s="48" t="s">
        <v>4</v>
      </c>
      <c r="F920" s="6">
        <v>3</v>
      </c>
      <c r="G920" s="6">
        <v>670</v>
      </c>
      <c r="H920" s="6">
        <v>200</v>
      </c>
      <c r="I920" s="6">
        <f>G920+500</f>
        <v>1170</v>
      </c>
      <c r="J920" s="6">
        <v>50</v>
      </c>
      <c r="K920" s="6">
        <f>I920</f>
        <v>1170</v>
      </c>
      <c r="L920" s="6">
        <f>H920</f>
        <v>200</v>
      </c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</row>
    <row r="921" spans="1:48">
      <c r="A921" s="48"/>
      <c r="B921" s="48"/>
      <c r="C921" s="48"/>
      <c r="D921" s="48">
        <v>7</v>
      </c>
      <c r="E921" s="48" t="s">
        <v>11</v>
      </c>
      <c r="F921" s="6">
        <v>0</v>
      </c>
      <c r="G921" s="6">
        <f>127*256</f>
        <v>32512</v>
      </c>
      <c r="H921" s="6">
        <v>0</v>
      </c>
      <c r="I921" s="6">
        <v>0</v>
      </c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</row>
    <row r="922" spans="1:48">
      <c r="A922" s="48"/>
      <c r="B922" s="48"/>
      <c r="C922" s="48"/>
      <c r="D922" s="48">
        <v>4</v>
      </c>
      <c r="E922" s="48" t="s">
        <v>15</v>
      </c>
      <c r="F922" s="6">
        <v>5</v>
      </c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</row>
    <row r="923" spans="1:48">
      <c r="A923" s="48"/>
      <c r="B923" s="48"/>
      <c r="C923" s="48"/>
      <c r="D923" s="48">
        <f>F923*2+4</f>
        <v>46</v>
      </c>
      <c r="E923" s="48" t="s">
        <v>4</v>
      </c>
      <c r="F923" s="6">
        <v>21</v>
      </c>
      <c r="G923" s="6">
        <f>G919+600</f>
        <v>670</v>
      </c>
      <c r="H923" s="6">
        <v>200</v>
      </c>
      <c r="I923" s="6">
        <f>G923</f>
        <v>670</v>
      </c>
      <c r="J923" s="6">
        <f>H923-15</f>
        <v>185</v>
      </c>
      <c r="K923" s="6">
        <f>I923+50</f>
        <v>720</v>
      </c>
      <c r="L923" s="6">
        <f>J923</f>
        <v>185</v>
      </c>
      <c r="M923" s="6">
        <f>K923</f>
        <v>720</v>
      </c>
      <c r="N923" s="6">
        <f>L923-15</f>
        <v>170</v>
      </c>
      <c r="O923" s="6">
        <f>M923+50</f>
        <v>770</v>
      </c>
      <c r="P923" s="48">
        <f>N923</f>
        <v>170</v>
      </c>
      <c r="Q923" s="48">
        <f>O923</f>
        <v>770</v>
      </c>
      <c r="R923" s="48">
        <f>P923-15</f>
        <v>155</v>
      </c>
      <c r="S923" s="48">
        <f>Q923+50</f>
        <v>820</v>
      </c>
      <c r="T923" s="48">
        <f>R923</f>
        <v>155</v>
      </c>
      <c r="U923" s="48">
        <f>S923</f>
        <v>820</v>
      </c>
      <c r="V923" s="48">
        <f>T923-15</f>
        <v>140</v>
      </c>
      <c r="W923" s="48">
        <f>U923+50</f>
        <v>870</v>
      </c>
      <c r="X923" s="48">
        <f>V923</f>
        <v>140</v>
      </c>
      <c r="Y923" s="48">
        <f>W923</f>
        <v>870</v>
      </c>
      <c r="Z923" s="48">
        <f>X923-15</f>
        <v>125</v>
      </c>
      <c r="AA923" s="48">
        <f>Y923+50</f>
        <v>920</v>
      </c>
      <c r="AB923" s="48">
        <f>Z923</f>
        <v>125</v>
      </c>
      <c r="AC923" s="48">
        <f>AA923</f>
        <v>920</v>
      </c>
      <c r="AD923" s="48">
        <f>AB923-15</f>
        <v>110</v>
      </c>
      <c r="AE923" s="48">
        <f>AC923+50</f>
        <v>970</v>
      </c>
      <c r="AF923" s="48">
        <f>AD923</f>
        <v>110</v>
      </c>
      <c r="AG923" s="48">
        <f>AE923</f>
        <v>970</v>
      </c>
      <c r="AH923" s="48">
        <f>AF923-15</f>
        <v>95</v>
      </c>
      <c r="AI923" s="48">
        <f>AG923+50</f>
        <v>1020</v>
      </c>
      <c r="AJ923" s="48">
        <f>AH923</f>
        <v>95</v>
      </c>
      <c r="AK923" s="48">
        <f>AI923</f>
        <v>1020</v>
      </c>
      <c r="AL923" s="48">
        <f>AJ923-15</f>
        <v>80</v>
      </c>
      <c r="AM923" s="48">
        <f>AK923+50</f>
        <v>1070</v>
      </c>
      <c r="AN923" s="48">
        <f>AL923</f>
        <v>80</v>
      </c>
      <c r="AO923" s="48">
        <f>AM923</f>
        <v>1070</v>
      </c>
      <c r="AP923" s="48">
        <f>AN923-15</f>
        <v>65</v>
      </c>
      <c r="AQ923" s="48">
        <f>AO923+50</f>
        <v>1120</v>
      </c>
      <c r="AR923" s="48">
        <f>AP923</f>
        <v>65</v>
      </c>
      <c r="AS923" s="48">
        <f>AQ923</f>
        <v>1120</v>
      </c>
      <c r="AT923" s="48">
        <f>AR923-15</f>
        <v>50</v>
      </c>
      <c r="AU923" s="48">
        <f>AS923+50</f>
        <v>1170</v>
      </c>
      <c r="AV923" s="48">
        <f>AT923</f>
        <v>50</v>
      </c>
    </row>
    <row r="924" spans="1:48">
      <c r="A924" s="48"/>
      <c r="B924" s="48"/>
      <c r="C924" s="48"/>
      <c r="D924" s="48">
        <v>4</v>
      </c>
      <c r="E924" s="48" t="s">
        <v>15</v>
      </c>
      <c r="F924" s="6">
        <v>2</v>
      </c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</row>
    <row r="925" spans="1:48">
      <c r="A925" s="48"/>
      <c r="B925" s="48"/>
      <c r="C925" s="48">
        <v>40</v>
      </c>
      <c r="D925" s="48">
        <v>44</v>
      </c>
      <c r="E925" s="1" t="s">
        <v>112</v>
      </c>
      <c r="F925" s="48">
        <v>20</v>
      </c>
      <c r="G925" s="6">
        <f>G919</f>
        <v>70</v>
      </c>
      <c r="H925" s="6">
        <f>H919+C925</f>
        <v>240</v>
      </c>
      <c r="I925" s="6">
        <f>I919</f>
        <v>570</v>
      </c>
      <c r="J925" s="6">
        <f>H925</f>
        <v>240</v>
      </c>
      <c r="K925" s="6" t="s">
        <v>24</v>
      </c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</row>
    <row r="926" spans="1:48">
      <c r="A926" s="48"/>
      <c r="B926" s="48"/>
      <c r="C926" s="48">
        <v>40</v>
      </c>
      <c r="D926" s="48">
        <v>44</v>
      </c>
      <c r="E926" s="1" t="s">
        <v>112</v>
      </c>
      <c r="F926" s="48">
        <v>20</v>
      </c>
      <c r="G926" s="6">
        <f>G920</f>
        <v>670</v>
      </c>
      <c r="H926" s="6">
        <f>H920+C926</f>
        <v>240</v>
      </c>
      <c r="I926" s="6">
        <f>I920</f>
        <v>1170</v>
      </c>
      <c r="J926" s="6">
        <f>H926</f>
        <v>240</v>
      </c>
      <c r="K926" s="6" t="s">
        <v>24</v>
      </c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</row>
    <row r="927" spans="1:48">
      <c r="A927" s="48"/>
      <c r="B927" s="48"/>
      <c r="C927" s="48"/>
      <c r="D927" s="48">
        <v>28</v>
      </c>
      <c r="E927" s="48" t="s">
        <v>12</v>
      </c>
      <c r="F927" s="6">
        <v>36</v>
      </c>
      <c r="G927" s="6">
        <v>0</v>
      </c>
      <c r="H927" s="6">
        <v>900</v>
      </c>
      <c r="I927" s="6">
        <v>0</v>
      </c>
      <c r="J927" s="6">
        <v>400</v>
      </c>
      <c r="K927" s="6">
        <v>0</v>
      </c>
      <c r="L927" s="6">
        <v>0</v>
      </c>
      <c r="M927" s="6">
        <v>0</v>
      </c>
      <c r="N927" s="6">
        <v>0</v>
      </c>
      <c r="O927" s="6" t="s">
        <v>19</v>
      </c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</row>
    <row r="928" spans="1:48">
      <c r="A928" s="48"/>
      <c r="B928" s="48"/>
      <c r="C928" s="48"/>
      <c r="D928" s="48">
        <v>4</v>
      </c>
      <c r="E928" s="48" t="s">
        <v>15</v>
      </c>
      <c r="F928" s="6">
        <v>6</v>
      </c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</row>
    <row r="929" spans="1:48">
      <c r="A929" s="48"/>
      <c r="B929" s="48"/>
      <c r="C929" s="48">
        <v>-40</v>
      </c>
      <c r="D929" s="48">
        <v>44</v>
      </c>
      <c r="E929" s="1" t="s">
        <v>112</v>
      </c>
      <c r="F929" s="48">
        <v>20</v>
      </c>
      <c r="G929" s="6">
        <f>G919+C929</f>
        <v>30</v>
      </c>
      <c r="H929" s="6">
        <f>H919</f>
        <v>200</v>
      </c>
      <c r="I929" s="6">
        <f>G929</f>
        <v>30</v>
      </c>
      <c r="J929" s="6">
        <f>J919</f>
        <v>50</v>
      </c>
      <c r="K929" s="6" t="s">
        <v>25</v>
      </c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</row>
    <row r="932" spans="1:48">
      <c r="A932" s="48" t="s">
        <v>383</v>
      </c>
      <c r="B932" s="48" t="s">
        <v>792</v>
      </c>
      <c r="D932" t="s">
        <v>449</v>
      </c>
      <c r="E932">
        <v>52695</v>
      </c>
      <c r="F932" s="6">
        <v>39622</v>
      </c>
      <c r="G932" s="6">
        <v>0</v>
      </c>
      <c r="H932" s="6">
        <v>0</v>
      </c>
      <c r="I932" s="6">
        <v>0</v>
      </c>
      <c r="J932" s="6">
        <v>1220</v>
      </c>
      <c r="K932" s="6">
        <v>440</v>
      </c>
      <c r="L932" s="6">
        <v>192</v>
      </c>
      <c r="M932" s="6">
        <v>0</v>
      </c>
      <c r="N932" s="6">
        <v>0</v>
      </c>
      <c r="O932" s="6" t="e">
        <f ca="1">checksummeint(G932,H932,I932,J932,K932,L932,M932,N932)</f>
        <v>#NAME?</v>
      </c>
    </row>
    <row r="933" spans="1:48">
      <c r="B933" t="s">
        <v>103</v>
      </c>
      <c r="D933">
        <v>28</v>
      </c>
      <c r="E933" t="s">
        <v>12</v>
      </c>
      <c r="F933" s="6">
        <v>36</v>
      </c>
      <c r="G933" s="6">
        <v>0</v>
      </c>
      <c r="H933" s="6">
        <v>0</v>
      </c>
      <c r="I933" s="6">
        <v>0</v>
      </c>
      <c r="J933" s="6">
        <v>400</v>
      </c>
      <c r="K933" s="6">
        <v>0</v>
      </c>
      <c r="L933" s="6">
        <v>0</v>
      </c>
      <c r="M933" s="6">
        <v>0</v>
      </c>
      <c r="N933" s="6">
        <v>0</v>
      </c>
      <c r="O933" s="6" t="s">
        <v>19</v>
      </c>
    </row>
    <row r="934" spans="1:48">
      <c r="D934">
        <v>5</v>
      </c>
      <c r="E934" t="s">
        <v>59</v>
      </c>
      <c r="F934" s="6">
        <v>2</v>
      </c>
      <c r="G934" s="6">
        <v>0</v>
      </c>
    </row>
    <row r="935" spans="1:48">
      <c r="D935">
        <v>4</v>
      </c>
      <c r="E935" t="s">
        <v>15</v>
      </c>
      <c r="F935" s="6">
        <v>0</v>
      </c>
    </row>
    <row r="936" spans="1:48">
      <c r="D936">
        <v>8</v>
      </c>
      <c r="E936" t="s">
        <v>14</v>
      </c>
      <c r="F936" s="6">
        <v>0</v>
      </c>
      <c r="G936" s="6">
        <v>2</v>
      </c>
      <c r="H936" s="6">
        <v>0</v>
      </c>
      <c r="I936" s="6">
        <v>0</v>
      </c>
      <c r="J936" s="6">
        <v>0</v>
      </c>
    </row>
    <row r="937" spans="1:48">
      <c r="D937">
        <v>4</v>
      </c>
      <c r="E937" t="s">
        <v>15</v>
      </c>
      <c r="F937" s="6">
        <v>1</v>
      </c>
    </row>
    <row r="938" spans="1:48">
      <c r="D938">
        <v>7</v>
      </c>
      <c r="E938" t="s">
        <v>11</v>
      </c>
      <c r="F938" s="6">
        <v>0</v>
      </c>
      <c r="G938" s="6">
        <v>0</v>
      </c>
      <c r="H938" s="6">
        <v>0</v>
      </c>
      <c r="I938" s="6">
        <v>0</v>
      </c>
    </row>
    <row r="939" spans="1:48">
      <c r="D939">
        <v>4</v>
      </c>
      <c r="E939" t="s">
        <v>15</v>
      </c>
      <c r="F939" s="6">
        <v>2</v>
      </c>
    </row>
    <row r="940" spans="1:48">
      <c r="D940" s="2">
        <v>18</v>
      </c>
      <c r="E940" s="2" t="s">
        <v>111</v>
      </c>
      <c r="F940" s="2">
        <v>20</v>
      </c>
      <c r="G940" s="6">
        <v>20</v>
      </c>
      <c r="H940" s="6">
        <v>200</v>
      </c>
      <c r="I940" s="6">
        <f>G940+560</f>
        <v>580</v>
      </c>
      <c r="J940" s="6">
        <f>H940</f>
        <v>200</v>
      </c>
    </row>
    <row r="941" spans="1:48">
      <c r="D941" s="2">
        <v>18</v>
      </c>
      <c r="E941" s="2" t="s">
        <v>111</v>
      </c>
      <c r="F941" s="2">
        <v>20</v>
      </c>
      <c r="G941" s="6">
        <f>G940+F940/2</f>
        <v>30</v>
      </c>
      <c r="H941" s="6">
        <f>H940+F941/2</f>
        <v>210</v>
      </c>
      <c r="I941" s="6">
        <f>G941</f>
        <v>30</v>
      </c>
      <c r="J941" s="6">
        <f>H941-200</f>
        <v>10</v>
      </c>
    </row>
    <row r="942" spans="1:48">
      <c r="E942" s="6" t="s">
        <v>517</v>
      </c>
      <c r="F942" s="6" t="s">
        <v>556</v>
      </c>
      <c r="G942" s="6">
        <f>G940+25</f>
        <v>45</v>
      </c>
      <c r="H942" s="6">
        <f>H940-190</f>
        <v>10</v>
      </c>
      <c r="I942" s="6">
        <f>H948-190</f>
        <v>230</v>
      </c>
      <c r="J942" s="6">
        <f>H942+40</f>
        <v>50</v>
      </c>
      <c r="K942" s="6">
        <f>J946+220</f>
        <v>270</v>
      </c>
    </row>
    <row r="943" spans="1:48">
      <c r="D943">
        <f>ROUNDUP(6+F943/2,0)</f>
        <v>7</v>
      </c>
      <c r="E943" t="s">
        <v>6</v>
      </c>
      <c r="F943" s="6">
        <f>LEN(G943)</f>
        <v>1</v>
      </c>
      <c r="G943" s="6" t="s">
        <v>22</v>
      </c>
      <c r="H943" s="6">
        <f>H940-20</f>
        <v>180</v>
      </c>
      <c r="I943" s="6">
        <f>I940+10</f>
        <v>590</v>
      </c>
    </row>
    <row r="944" spans="1:48">
      <c r="D944" s="2">
        <v>18</v>
      </c>
      <c r="E944" s="2" t="s">
        <v>111</v>
      </c>
      <c r="F944" s="2">
        <v>20</v>
      </c>
      <c r="G944" s="6">
        <f>G940+600</f>
        <v>620</v>
      </c>
      <c r="H944" s="6">
        <v>200</v>
      </c>
      <c r="I944" s="6">
        <f>I940+600</f>
        <v>1180</v>
      </c>
      <c r="J944" s="6">
        <f>H944</f>
        <v>200</v>
      </c>
    </row>
    <row r="945" spans="2:12">
      <c r="D945" s="2">
        <v>18</v>
      </c>
      <c r="E945" s="2" t="s">
        <v>111</v>
      </c>
      <c r="F945" s="2">
        <v>20</v>
      </c>
      <c r="G945" s="6">
        <f>G941+600</f>
        <v>630</v>
      </c>
      <c r="H945" s="6">
        <f>H944+F945/2</f>
        <v>210</v>
      </c>
      <c r="I945" s="6">
        <f>G945</f>
        <v>630</v>
      </c>
      <c r="J945" s="6">
        <f>H945-200</f>
        <v>10</v>
      </c>
    </row>
    <row r="946" spans="2:12">
      <c r="E946" s="6" t="s">
        <v>517</v>
      </c>
      <c r="F946" s="6" t="s">
        <v>557</v>
      </c>
      <c r="G946" s="6">
        <f>G944+25</f>
        <v>645</v>
      </c>
      <c r="H946" s="6">
        <f>H944-190</f>
        <v>10</v>
      </c>
      <c r="I946" s="6">
        <f>H951-190</f>
        <v>230</v>
      </c>
      <c r="J946" s="6">
        <f>J942</f>
        <v>50</v>
      </c>
      <c r="K946" s="6">
        <f>K942</f>
        <v>270</v>
      </c>
    </row>
    <row r="947" spans="2:12">
      <c r="D947">
        <f>ROUNDUP(6+F947/2,0)</f>
        <v>7</v>
      </c>
      <c r="E947" t="s">
        <v>6</v>
      </c>
      <c r="F947" s="6">
        <f>LEN(G947)</f>
        <v>1</v>
      </c>
      <c r="G947" s="6" t="s">
        <v>22</v>
      </c>
      <c r="H947" s="6">
        <f>H944-20</f>
        <v>180</v>
      </c>
      <c r="I947" s="6">
        <f>I944+10</f>
        <v>1190</v>
      </c>
    </row>
    <row r="948" spans="2:12">
      <c r="D948" s="2">
        <v>18</v>
      </c>
      <c r="E948" s="2" t="s">
        <v>111</v>
      </c>
      <c r="F948" s="2">
        <v>20</v>
      </c>
      <c r="G948" s="6">
        <v>20</v>
      </c>
      <c r="H948" s="6">
        <v>420</v>
      </c>
      <c r="I948" s="6">
        <f>G948+560</f>
        <v>580</v>
      </c>
      <c r="J948" s="6">
        <f>H948</f>
        <v>420</v>
      </c>
    </row>
    <row r="949" spans="2:12">
      <c r="D949" s="2">
        <v>18</v>
      </c>
      <c r="E949" s="2" t="s">
        <v>111</v>
      </c>
      <c r="F949" s="2">
        <v>20</v>
      </c>
      <c r="G949" s="6">
        <f>G948+F948/2</f>
        <v>30</v>
      </c>
      <c r="H949" s="6">
        <f>H948+F949/2</f>
        <v>430</v>
      </c>
      <c r="I949" s="6">
        <f>G949</f>
        <v>30</v>
      </c>
      <c r="J949" s="6">
        <f>H949-200</f>
        <v>230</v>
      </c>
    </row>
    <row r="950" spans="2:12">
      <c r="D950">
        <f>ROUNDUP(6+F950/2,0)</f>
        <v>7</v>
      </c>
      <c r="E950" t="s">
        <v>6</v>
      </c>
      <c r="F950" s="6">
        <f>LEN(G950)</f>
        <v>1</v>
      </c>
      <c r="G950" s="6" t="s">
        <v>22</v>
      </c>
      <c r="H950" s="6">
        <f>H948-20</f>
        <v>400</v>
      </c>
      <c r="I950" s="6">
        <f>I948+10</f>
        <v>590</v>
      </c>
    </row>
    <row r="951" spans="2:12">
      <c r="D951" s="2">
        <v>18</v>
      </c>
      <c r="E951" s="2" t="s">
        <v>111</v>
      </c>
      <c r="F951" s="2">
        <v>20</v>
      </c>
      <c r="G951" s="6">
        <f>G948+600</f>
        <v>620</v>
      </c>
      <c r="H951" s="6">
        <f>H948</f>
        <v>420</v>
      </c>
      <c r="I951" s="6">
        <f>I948+600</f>
        <v>1180</v>
      </c>
      <c r="J951" s="6">
        <f>H951</f>
        <v>420</v>
      </c>
    </row>
    <row r="952" spans="2:12">
      <c r="D952" s="2">
        <v>18</v>
      </c>
      <c r="E952" s="2" t="s">
        <v>111</v>
      </c>
      <c r="F952" s="2">
        <v>20</v>
      </c>
      <c r="G952" s="6">
        <f>G949+600</f>
        <v>630</v>
      </c>
      <c r="H952" s="6">
        <f>H951+F952/2</f>
        <v>430</v>
      </c>
      <c r="I952" s="6">
        <f>G952</f>
        <v>630</v>
      </c>
      <c r="J952" s="6">
        <f>H952-200</f>
        <v>230</v>
      </c>
    </row>
    <row r="953" spans="2:12">
      <c r="D953">
        <f>ROUNDUP(6+F953/2,0)</f>
        <v>7</v>
      </c>
      <c r="E953" t="s">
        <v>6</v>
      </c>
      <c r="F953" s="6">
        <f>LEN(G953)</f>
        <v>1</v>
      </c>
      <c r="G953" s="6" t="s">
        <v>22</v>
      </c>
      <c r="H953" s="6">
        <f>H951-20</f>
        <v>400</v>
      </c>
      <c r="I953" s="6">
        <f>I951+10</f>
        <v>1190</v>
      </c>
    </row>
    <row r="954" spans="2:12">
      <c r="D954">
        <v>8</v>
      </c>
      <c r="E954" t="s">
        <v>14</v>
      </c>
      <c r="F954" s="6">
        <v>0</v>
      </c>
      <c r="G954" s="6">
        <v>1</v>
      </c>
      <c r="H954" s="6">
        <v>0</v>
      </c>
      <c r="I954" s="6">
        <v>0</v>
      </c>
    </row>
    <row r="955" spans="2:12">
      <c r="D955">
        <v>4</v>
      </c>
      <c r="E955" t="s">
        <v>15</v>
      </c>
      <c r="F955" s="6">
        <v>3</v>
      </c>
    </row>
    <row r="956" spans="2:12">
      <c r="D956">
        <v>7</v>
      </c>
      <c r="E956" t="s">
        <v>11</v>
      </c>
      <c r="F956" s="6">
        <v>0</v>
      </c>
      <c r="G956" s="6">
        <f>255*256+192</f>
        <v>65472</v>
      </c>
      <c r="H956" s="6">
        <v>192</v>
      </c>
      <c r="I956" s="6">
        <v>0</v>
      </c>
    </row>
    <row r="957" spans="2:12">
      <c r="D957">
        <v>4</v>
      </c>
      <c r="E957" t="s">
        <v>15</v>
      </c>
      <c r="F957" s="6">
        <v>4</v>
      </c>
    </row>
    <row r="958" spans="2:12">
      <c r="B958" t="s">
        <v>23</v>
      </c>
      <c r="D958">
        <f>F958*2+4</f>
        <v>10</v>
      </c>
      <c r="E958" t="s">
        <v>4</v>
      </c>
      <c r="F958" s="6">
        <v>3</v>
      </c>
      <c r="G958" s="6">
        <v>30</v>
      </c>
      <c r="H958" s="6">
        <v>200</v>
      </c>
      <c r="I958" s="6">
        <f>G958+500</f>
        <v>530</v>
      </c>
      <c r="J958" s="6">
        <f>H958-150</f>
        <v>50</v>
      </c>
      <c r="K958" s="6">
        <f>I958</f>
        <v>530</v>
      </c>
      <c r="L958" s="6">
        <f>H958</f>
        <v>200</v>
      </c>
    </row>
    <row r="959" spans="2:12">
      <c r="D959">
        <f>F959*2+4</f>
        <v>10</v>
      </c>
      <c r="E959" t="s">
        <v>4</v>
      </c>
      <c r="F959" s="6">
        <v>3</v>
      </c>
      <c r="G959" s="6">
        <f>G958+600</f>
        <v>630</v>
      </c>
      <c r="H959" s="6">
        <f>H958</f>
        <v>200</v>
      </c>
      <c r="I959" s="6">
        <f>G959+500</f>
        <v>1130</v>
      </c>
      <c r="J959" s="6">
        <f>J958</f>
        <v>50</v>
      </c>
      <c r="K959" s="6">
        <f>I959</f>
        <v>1130</v>
      </c>
      <c r="L959" s="6">
        <f>H959</f>
        <v>200</v>
      </c>
    </row>
    <row r="960" spans="2:12">
      <c r="D960">
        <f>F960*2+4</f>
        <v>10</v>
      </c>
      <c r="E960" t="s">
        <v>4</v>
      </c>
      <c r="F960" s="6">
        <v>3</v>
      </c>
      <c r="G960" s="6">
        <v>30</v>
      </c>
      <c r="H960" s="6">
        <f>H958+220</f>
        <v>420</v>
      </c>
      <c r="I960" s="6">
        <f>G960+500</f>
        <v>530</v>
      </c>
      <c r="J960" s="6">
        <f>H960-150</f>
        <v>270</v>
      </c>
      <c r="K960" s="6">
        <f>I960</f>
        <v>530</v>
      </c>
      <c r="L960" s="6">
        <f>H960</f>
        <v>420</v>
      </c>
    </row>
    <row r="961" spans="1:108">
      <c r="D961">
        <f>F961*2+4</f>
        <v>10</v>
      </c>
      <c r="E961" t="s">
        <v>4</v>
      </c>
      <c r="F961" s="6">
        <v>3</v>
      </c>
      <c r="G961" s="6">
        <f>G960+600</f>
        <v>630</v>
      </c>
      <c r="H961" s="6">
        <f>H960</f>
        <v>420</v>
      </c>
      <c r="I961" s="6">
        <f>G961+500</f>
        <v>1130</v>
      </c>
      <c r="J961" s="6">
        <f>J960</f>
        <v>270</v>
      </c>
      <c r="K961" s="6">
        <f>I961</f>
        <v>1130</v>
      </c>
      <c r="L961" s="6">
        <f>H961</f>
        <v>420</v>
      </c>
    </row>
    <row r="962" spans="1:108">
      <c r="D962">
        <v>7</v>
      </c>
      <c r="E962" t="s">
        <v>11</v>
      </c>
      <c r="F962" s="6">
        <v>0</v>
      </c>
      <c r="G962" s="6">
        <f>127*256</f>
        <v>32512</v>
      </c>
      <c r="H962" s="6">
        <v>0</v>
      </c>
      <c r="I962" s="6">
        <v>0</v>
      </c>
    </row>
    <row r="963" spans="1:108">
      <c r="D963">
        <v>4</v>
      </c>
      <c r="E963" t="s">
        <v>15</v>
      </c>
      <c r="F963" s="6">
        <v>5</v>
      </c>
    </row>
    <row r="964" spans="1:108">
      <c r="D964">
        <f>F964*2+4</f>
        <v>10</v>
      </c>
      <c r="E964" t="s">
        <v>4</v>
      </c>
      <c r="F964" s="6">
        <v>3</v>
      </c>
      <c r="G964" s="6">
        <f t="shared" ref="G964:H967" si="77">G958</f>
        <v>30</v>
      </c>
      <c r="H964" s="6">
        <f t="shared" si="77"/>
        <v>200</v>
      </c>
      <c r="I964" s="6">
        <f>G964</f>
        <v>30</v>
      </c>
      <c r="J964" s="6">
        <f>H964-150</f>
        <v>50</v>
      </c>
      <c r="K964" s="6">
        <f>I964+500</f>
        <v>530</v>
      </c>
      <c r="L964" s="6">
        <f>J964</f>
        <v>50</v>
      </c>
    </row>
    <row r="965" spans="1:108">
      <c r="D965">
        <f>F965*2+4</f>
        <v>14</v>
      </c>
      <c r="E965" t="s">
        <v>4</v>
      </c>
      <c r="F965" s="6">
        <v>5</v>
      </c>
      <c r="G965" s="6">
        <f t="shared" si="77"/>
        <v>630</v>
      </c>
      <c r="H965" s="6">
        <f t="shared" si="77"/>
        <v>200</v>
      </c>
      <c r="I965" s="6">
        <f>G965</f>
        <v>630</v>
      </c>
      <c r="J965" s="6">
        <f>H965-150/2</f>
        <v>125</v>
      </c>
      <c r="K965" s="6">
        <f>I965+500/2</f>
        <v>880</v>
      </c>
      <c r="L965" s="6">
        <f>J965</f>
        <v>125</v>
      </c>
      <c r="M965" s="6">
        <f>K965</f>
        <v>880</v>
      </c>
      <c r="N965" s="6">
        <f>L965-150/2</f>
        <v>50</v>
      </c>
      <c r="O965" s="6">
        <f>M965+500/2</f>
        <v>1130</v>
      </c>
      <c r="P965">
        <f>N965</f>
        <v>50</v>
      </c>
    </row>
    <row r="966" spans="1:108">
      <c r="D966">
        <f>F966*2+4</f>
        <v>46</v>
      </c>
      <c r="E966" t="s">
        <v>4</v>
      </c>
      <c r="F966" s="6">
        <v>21</v>
      </c>
      <c r="G966" s="6">
        <f t="shared" si="77"/>
        <v>30</v>
      </c>
      <c r="H966" s="6">
        <f t="shared" si="77"/>
        <v>420</v>
      </c>
      <c r="I966" s="6">
        <f>G966</f>
        <v>30</v>
      </c>
      <c r="J966" s="6">
        <f>H966-15</f>
        <v>405</v>
      </c>
      <c r="K966" s="6">
        <f>I966+50</f>
        <v>80</v>
      </c>
      <c r="L966" s="6">
        <f>J966</f>
        <v>405</v>
      </c>
      <c r="M966" s="6">
        <f>K966</f>
        <v>80</v>
      </c>
      <c r="N966" s="6">
        <f>L966-15</f>
        <v>390</v>
      </c>
      <c r="O966" s="6">
        <f>M966+50</f>
        <v>130</v>
      </c>
      <c r="P966">
        <f>N966</f>
        <v>390</v>
      </c>
      <c r="Q966">
        <f>O966</f>
        <v>130</v>
      </c>
      <c r="R966">
        <f>P966-15</f>
        <v>375</v>
      </c>
      <c r="S966">
        <f>Q966+50</f>
        <v>180</v>
      </c>
      <c r="T966">
        <f>R966</f>
        <v>375</v>
      </c>
      <c r="U966">
        <f>S966</f>
        <v>180</v>
      </c>
      <c r="V966">
        <f>T966-15</f>
        <v>360</v>
      </c>
      <c r="W966">
        <f>U966+50</f>
        <v>230</v>
      </c>
      <c r="X966">
        <f>V966</f>
        <v>360</v>
      </c>
      <c r="Y966">
        <f>W966</f>
        <v>230</v>
      </c>
      <c r="Z966">
        <f>X966-15</f>
        <v>345</v>
      </c>
      <c r="AA966">
        <f>Y966+50</f>
        <v>280</v>
      </c>
      <c r="AB966">
        <f>Z966</f>
        <v>345</v>
      </c>
      <c r="AC966">
        <f>AA966</f>
        <v>280</v>
      </c>
      <c r="AD966">
        <f>AB966-15</f>
        <v>330</v>
      </c>
      <c r="AE966">
        <f>AC966+50</f>
        <v>330</v>
      </c>
      <c r="AF966">
        <f>AD966</f>
        <v>330</v>
      </c>
      <c r="AG966">
        <f>AE966</f>
        <v>330</v>
      </c>
      <c r="AH966">
        <f>AF966-15</f>
        <v>315</v>
      </c>
      <c r="AI966">
        <f>AG966+50</f>
        <v>380</v>
      </c>
      <c r="AJ966">
        <f>AH966</f>
        <v>315</v>
      </c>
      <c r="AK966">
        <f>AI966</f>
        <v>380</v>
      </c>
      <c r="AL966">
        <f>AJ966-15</f>
        <v>300</v>
      </c>
      <c r="AM966">
        <f>AK966+50</f>
        <v>430</v>
      </c>
      <c r="AN966">
        <f>AL966</f>
        <v>300</v>
      </c>
      <c r="AO966">
        <f>AM966</f>
        <v>430</v>
      </c>
      <c r="AP966">
        <f>AN966-15</f>
        <v>285</v>
      </c>
      <c r="AQ966">
        <f>AO966+50</f>
        <v>480</v>
      </c>
      <c r="AR966">
        <f>AP966</f>
        <v>285</v>
      </c>
      <c r="AS966">
        <f>AQ966</f>
        <v>480</v>
      </c>
      <c r="AT966">
        <f>AR966-15</f>
        <v>270</v>
      </c>
      <c r="AU966">
        <f>AS966+50</f>
        <v>530</v>
      </c>
      <c r="AV966">
        <f>AT966</f>
        <v>270</v>
      </c>
    </row>
    <row r="967" spans="1:108">
      <c r="D967">
        <f>F967*2+4</f>
        <v>106</v>
      </c>
      <c r="E967" t="s">
        <v>4</v>
      </c>
      <c r="F967" s="6">
        <v>51</v>
      </c>
      <c r="G967" s="6">
        <f t="shared" si="77"/>
        <v>630</v>
      </c>
      <c r="H967" s="6">
        <f t="shared" si="77"/>
        <v>420</v>
      </c>
      <c r="I967" s="6">
        <f>G967</f>
        <v>630</v>
      </c>
      <c r="J967" s="6">
        <f>H967-150/25</f>
        <v>414</v>
      </c>
      <c r="K967" s="6">
        <f>I967+500/25</f>
        <v>650</v>
      </c>
      <c r="L967" s="6">
        <f>J967</f>
        <v>414</v>
      </c>
      <c r="M967" s="6">
        <f>K967</f>
        <v>650</v>
      </c>
      <c r="N967" s="6">
        <f>L967-150/25</f>
        <v>408</v>
      </c>
      <c r="O967" s="6">
        <f>M967+500/25</f>
        <v>670</v>
      </c>
      <c r="P967">
        <f>N967</f>
        <v>408</v>
      </c>
      <c r="Q967">
        <f>O967</f>
        <v>670</v>
      </c>
      <c r="R967">
        <f>P967-150/25</f>
        <v>402</v>
      </c>
      <c r="S967">
        <f>Q967+500/25</f>
        <v>690</v>
      </c>
      <c r="T967">
        <f>R967</f>
        <v>402</v>
      </c>
      <c r="U967">
        <f>S967</f>
        <v>690</v>
      </c>
      <c r="V967">
        <f>T967-150/25</f>
        <v>396</v>
      </c>
      <c r="W967">
        <f>U967+500/25</f>
        <v>710</v>
      </c>
      <c r="X967">
        <f>V967</f>
        <v>396</v>
      </c>
      <c r="Y967">
        <f>W967</f>
        <v>710</v>
      </c>
      <c r="Z967">
        <f>X967-150/25</f>
        <v>390</v>
      </c>
      <c r="AA967">
        <f>Y967+500/25</f>
        <v>730</v>
      </c>
      <c r="AB967">
        <f>Z967</f>
        <v>390</v>
      </c>
      <c r="AC967">
        <f>AA967</f>
        <v>730</v>
      </c>
      <c r="AD967">
        <f>AB967-150/25</f>
        <v>384</v>
      </c>
      <c r="AE967">
        <f>AC967+500/25</f>
        <v>750</v>
      </c>
      <c r="AF967">
        <f>AD967</f>
        <v>384</v>
      </c>
      <c r="AG967">
        <f>AE967</f>
        <v>750</v>
      </c>
      <c r="AH967">
        <f>AF967-150/25</f>
        <v>378</v>
      </c>
      <c r="AI967">
        <f>AG967+500/25</f>
        <v>770</v>
      </c>
      <c r="AJ967">
        <f>AH967</f>
        <v>378</v>
      </c>
      <c r="AK967">
        <f>AI967</f>
        <v>770</v>
      </c>
      <c r="AL967">
        <f>AJ967-150/25</f>
        <v>372</v>
      </c>
      <c r="AM967">
        <f>AK967+500/25</f>
        <v>790</v>
      </c>
      <c r="AN967">
        <f>AL967</f>
        <v>372</v>
      </c>
      <c r="AO967">
        <f>AM967</f>
        <v>790</v>
      </c>
      <c r="AP967">
        <f>AN967-150/25</f>
        <v>366</v>
      </c>
      <c r="AQ967">
        <f>AO967+500/25</f>
        <v>810</v>
      </c>
      <c r="AR967">
        <f>AP967</f>
        <v>366</v>
      </c>
      <c r="AS967">
        <f>AQ967</f>
        <v>810</v>
      </c>
      <c r="AT967">
        <f>AR967-150/25</f>
        <v>360</v>
      </c>
      <c r="AU967">
        <f>AS967+500/25</f>
        <v>830</v>
      </c>
      <c r="AV967">
        <f>AT967</f>
        <v>360</v>
      </c>
      <c r="AW967">
        <f>AU967</f>
        <v>830</v>
      </c>
      <c r="AX967">
        <f>AV967-150/25</f>
        <v>354</v>
      </c>
      <c r="AY967">
        <f>AW967+500/25</f>
        <v>850</v>
      </c>
      <c r="AZ967">
        <f>AX967</f>
        <v>354</v>
      </c>
      <c r="BA967">
        <f>AY967</f>
        <v>850</v>
      </c>
      <c r="BB967">
        <f>AZ967-150/25</f>
        <v>348</v>
      </c>
      <c r="BC967">
        <f>BA967+500/25</f>
        <v>870</v>
      </c>
      <c r="BD967">
        <f>BB967</f>
        <v>348</v>
      </c>
      <c r="BE967">
        <f>BC967</f>
        <v>870</v>
      </c>
      <c r="BF967">
        <f>BD967-150/25</f>
        <v>342</v>
      </c>
      <c r="BG967">
        <f>BE967+500/25</f>
        <v>890</v>
      </c>
      <c r="BH967">
        <f>BF967</f>
        <v>342</v>
      </c>
      <c r="BI967">
        <f>BG967</f>
        <v>890</v>
      </c>
      <c r="BJ967">
        <f>BH967-150/25</f>
        <v>336</v>
      </c>
      <c r="BK967">
        <f>BI967+500/25</f>
        <v>910</v>
      </c>
      <c r="BL967">
        <f>BJ967</f>
        <v>336</v>
      </c>
      <c r="BM967">
        <f>BK967</f>
        <v>910</v>
      </c>
      <c r="BN967">
        <f>BL967-150/25</f>
        <v>330</v>
      </c>
      <c r="BO967">
        <f>BM967+500/25</f>
        <v>930</v>
      </c>
      <c r="BP967">
        <f>BN967</f>
        <v>330</v>
      </c>
      <c r="BQ967">
        <f>BO967</f>
        <v>930</v>
      </c>
      <c r="BR967">
        <f>BP967-150/25</f>
        <v>324</v>
      </c>
      <c r="BS967">
        <f>BQ967+500/25</f>
        <v>950</v>
      </c>
      <c r="BT967">
        <f>BR967</f>
        <v>324</v>
      </c>
      <c r="BU967">
        <f>BS967</f>
        <v>950</v>
      </c>
      <c r="BV967">
        <f>BT967-150/25</f>
        <v>318</v>
      </c>
      <c r="BW967">
        <f>BU967+500/25</f>
        <v>970</v>
      </c>
      <c r="BX967">
        <f>BV967</f>
        <v>318</v>
      </c>
      <c r="BY967">
        <f>BW967</f>
        <v>970</v>
      </c>
      <c r="BZ967">
        <f>BX967-150/25</f>
        <v>312</v>
      </c>
      <c r="CA967">
        <f>BY967+500/25</f>
        <v>990</v>
      </c>
      <c r="CB967">
        <f>BZ967</f>
        <v>312</v>
      </c>
      <c r="CC967">
        <f>CA967</f>
        <v>990</v>
      </c>
      <c r="CD967">
        <f>CB967-150/25</f>
        <v>306</v>
      </c>
      <c r="CE967">
        <f>CC967+500/25</f>
        <v>1010</v>
      </c>
      <c r="CF967">
        <f>CD967</f>
        <v>306</v>
      </c>
      <c r="CG967">
        <f>CE967</f>
        <v>1010</v>
      </c>
      <c r="CH967">
        <f>CF967-150/25</f>
        <v>300</v>
      </c>
      <c r="CI967">
        <f>CG967+500/25</f>
        <v>1030</v>
      </c>
      <c r="CJ967">
        <f>CH967</f>
        <v>300</v>
      </c>
      <c r="CK967">
        <f>CI967</f>
        <v>1030</v>
      </c>
      <c r="CL967">
        <f>CJ967-150/25</f>
        <v>294</v>
      </c>
      <c r="CM967">
        <f>CK967+500/25</f>
        <v>1050</v>
      </c>
      <c r="CN967">
        <f>CL967</f>
        <v>294</v>
      </c>
      <c r="CO967">
        <f>CM967</f>
        <v>1050</v>
      </c>
      <c r="CP967">
        <f>CN967-150/25</f>
        <v>288</v>
      </c>
      <c r="CQ967">
        <f>CO967+500/25</f>
        <v>1070</v>
      </c>
      <c r="CR967">
        <f>CP967</f>
        <v>288</v>
      </c>
      <c r="CS967">
        <f>CQ967</f>
        <v>1070</v>
      </c>
      <c r="CT967">
        <f>CR967-150/25</f>
        <v>282</v>
      </c>
      <c r="CU967">
        <f>CS967+500/25</f>
        <v>1090</v>
      </c>
      <c r="CV967">
        <f>CT967</f>
        <v>282</v>
      </c>
      <c r="CW967">
        <f>CU967</f>
        <v>1090</v>
      </c>
      <c r="CX967">
        <f>CV967-150/25</f>
        <v>276</v>
      </c>
      <c r="CY967">
        <f>CW967+500/25</f>
        <v>1110</v>
      </c>
      <c r="CZ967">
        <f>CX967</f>
        <v>276</v>
      </c>
      <c r="DA967">
        <f>CY967</f>
        <v>1110</v>
      </c>
      <c r="DB967">
        <f>CZ967-150/25</f>
        <v>270</v>
      </c>
      <c r="DC967">
        <f>DA967+500/25</f>
        <v>1130</v>
      </c>
      <c r="DD967">
        <f>DB967</f>
        <v>270</v>
      </c>
    </row>
    <row r="970" spans="1:108">
      <c r="A970" s="48" t="s">
        <v>383</v>
      </c>
      <c r="B970" s="48" t="s">
        <v>793</v>
      </c>
      <c r="C970" s="48"/>
      <c r="D970" s="48" t="s">
        <v>449</v>
      </c>
      <c r="E970" s="48">
        <v>52695</v>
      </c>
      <c r="F970" s="6">
        <v>39622</v>
      </c>
      <c r="G970" s="6">
        <v>0</v>
      </c>
      <c r="H970" s="6">
        <v>0</v>
      </c>
      <c r="I970" s="6">
        <v>0</v>
      </c>
      <c r="J970" s="6">
        <v>1220</v>
      </c>
      <c r="K970" s="6">
        <v>610</v>
      </c>
      <c r="L970" s="6">
        <v>192</v>
      </c>
      <c r="M970" s="6">
        <v>0</v>
      </c>
      <c r="N970" s="6">
        <v>0</v>
      </c>
      <c r="O970" s="6" t="e">
        <f ca="1">checksummeint(G970,H970,I970,J970,K970,L970,M970,N970)</f>
        <v>#NAME?</v>
      </c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</row>
    <row r="971" spans="1:108">
      <c r="A971" s="48"/>
      <c r="B971" s="48"/>
      <c r="C971" s="48"/>
      <c r="D971" s="48">
        <v>28</v>
      </c>
      <c r="E971" s="48" t="s">
        <v>12</v>
      </c>
      <c r="F971" s="6">
        <v>36</v>
      </c>
      <c r="G971" s="6">
        <v>0</v>
      </c>
      <c r="H971" s="6">
        <v>0</v>
      </c>
      <c r="I971" s="6">
        <v>0</v>
      </c>
      <c r="J971" s="6">
        <v>400</v>
      </c>
      <c r="K971" s="6">
        <v>0</v>
      </c>
      <c r="L971" s="6">
        <v>0</v>
      </c>
      <c r="M971" s="6">
        <v>0</v>
      </c>
      <c r="N971" s="6">
        <v>0</v>
      </c>
      <c r="O971" s="6" t="s">
        <v>19</v>
      </c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</row>
    <row r="972" spans="1:108">
      <c r="A972" s="48"/>
      <c r="B972" s="48"/>
      <c r="C972" s="48"/>
      <c r="D972" s="48">
        <v>4</v>
      </c>
      <c r="E972" s="48" t="s">
        <v>15</v>
      </c>
      <c r="F972" s="6">
        <v>0</v>
      </c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</row>
    <row r="973" spans="1:108">
      <c r="A973" s="48"/>
      <c r="B973" s="48"/>
      <c r="C973" s="48"/>
      <c r="D973" s="48">
        <v>8</v>
      </c>
      <c r="E973" s="48" t="s">
        <v>14</v>
      </c>
      <c r="F973" s="6">
        <v>0</v>
      </c>
      <c r="G973" s="6">
        <v>2</v>
      </c>
      <c r="H973" s="6">
        <v>0</v>
      </c>
      <c r="I973" s="6">
        <v>0</v>
      </c>
      <c r="J973" s="6">
        <v>0</v>
      </c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</row>
    <row r="974" spans="1:108">
      <c r="A974" s="48"/>
      <c r="B974" s="48"/>
      <c r="C974" s="48"/>
      <c r="D974" s="48">
        <v>4</v>
      </c>
      <c r="E974" s="48" t="s">
        <v>15</v>
      </c>
      <c r="F974" s="6">
        <v>1</v>
      </c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</row>
    <row r="975" spans="1:108">
      <c r="A975" s="48"/>
      <c r="B975" s="48"/>
      <c r="C975" s="48"/>
      <c r="D975" s="48">
        <v>7</v>
      </c>
      <c r="E975" s="48" t="s">
        <v>11</v>
      </c>
      <c r="F975" s="6">
        <v>0</v>
      </c>
      <c r="G975" s="6">
        <v>0</v>
      </c>
      <c r="H975" s="6">
        <v>0</v>
      </c>
      <c r="I975" s="6">
        <v>0</v>
      </c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</row>
    <row r="976" spans="1:108">
      <c r="A976" s="48"/>
      <c r="B976" s="48"/>
      <c r="C976" s="48"/>
      <c r="D976" s="48">
        <v>4</v>
      </c>
      <c r="E976" s="48" t="s">
        <v>15</v>
      </c>
      <c r="F976" s="6">
        <v>2</v>
      </c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</row>
    <row r="977" spans="1:48">
      <c r="A977" s="48"/>
      <c r="B977" s="48"/>
      <c r="C977" s="48"/>
      <c r="D977" s="48">
        <v>5</v>
      </c>
      <c r="E977" s="48" t="s">
        <v>59</v>
      </c>
      <c r="F977" s="6">
        <v>1</v>
      </c>
      <c r="G977" s="6">
        <v>0</v>
      </c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</row>
    <row r="978" spans="1:48" s="48" customFormat="1">
      <c r="D978" s="49">
        <v>18</v>
      </c>
      <c r="E978" s="49" t="s">
        <v>111</v>
      </c>
      <c r="F978" s="49">
        <v>20</v>
      </c>
      <c r="G978" s="49">
        <v>60</v>
      </c>
      <c r="H978" s="49">
        <v>200</v>
      </c>
      <c r="I978" s="49">
        <v>510</v>
      </c>
      <c r="J978" s="49">
        <v>200</v>
      </c>
      <c r="K978" s="6"/>
      <c r="L978" s="6"/>
      <c r="M978" s="6"/>
      <c r="N978" s="6"/>
      <c r="O978" s="6"/>
    </row>
    <row r="979" spans="1:48" s="48" customFormat="1">
      <c r="D979" s="49">
        <v>18</v>
      </c>
      <c r="E979" s="49" t="s">
        <v>111</v>
      </c>
      <c r="F979" s="49">
        <v>20</v>
      </c>
      <c r="G979" s="49">
        <v>70</v>
      </c>
      <c r="H979" s="49">
        <v>210</v>
      </c>
      <c r="I979" s="49">
        <v>70</v>
      </c>
      <c r="J979" s="49">
        <v>10</v>
      </c>
      <c r="K979" s="6"/>
      <c r="L979" s="6"/>
      <c r="M979" s="6"/>
      <c r="N979" s="6"/>
      <c r="O979" s="6"/>
    </row>
    <row r="980" spans="1:48" s="48" customFormat="1">
      <c r="D980" s="49">
        <v>18</v>
      </c>
      <c r="E980" s="49" t="s">
        <v>111</v>
      </c>
      <c r="F980" s="49">
        <v>20</v>
      </c>
      <c r="G980" s="49">
        <f>G978</f>
        <v>60</v>
      </c>
      <c r="H980" s="49">
        <f>H978+300</f>
        <v>500</v>
      </c>
      <c r="I980" s="49">
        <f>I978+60</f>
        <v>570</v>
      </c>
      <c r="J980" s="49">
        <f>J978+300</f>
        <v>500</v>
      </c>
      <c r="K980" s="6"/>
      <c r="L980" s="6"/>
      <c r="M980" s="6"/>
      <c r="N980" s="6"/>
      <c r="O980" s="6"/>
    </row>
    <row r="981" spans="1:48" s="48" customFormat="1">
      <c r="D981" s="49">
        <v>18</v>
      </c>
      <c r="E981" s="49" t="s">
        <v>111</v>
      </c>
      <c r="F981" s="49">
        <v>20</v>
      </c>
      <c r="G981" s="49">
        <f>G979</f>
        <v>70</v>
      </c>
      <c r="H981" s="49">
        <f>H979+300</f>
        <v>510</v>
      </c>
      <c r="I981" s="49">
        <f>I979</f>
        <v>70</v>
      </c>
      <c r="J981" s="49">
        <f>J979+300</f>
        <v>310</v>
      </c>
      <c r="K981" s="6"/>
      <c r="L981" s="6"/>
      <c r="M981" s="6"/>
      <c r="N981" s="6"/>
      <c r="O981" s="6"/>
    </row>
    <row r="982" spans="1:48">
      <c r="A982" s="48"/>
      <c r="B982" s="48"/>
      <c r="C982" s="48"/>
      <c r="D982" s="48">
        <f>ROUNDUP(6+F982/2,0)</f>
        <v>7</v>
      </c>
      <c r="E982" s="48" t="s">
        <v>6</v>
      </c>
      <c r="F982" s="6">
        <f>LEN(G982)</f>
        <v>1</v>
      </c>
      <c r="G982" s="6" t="s">
        <v>21</v>
      </c>
      <c r="H982" s="6">
        <f>H978-190</f>
        <v>10</v>
      </c>
      <c r="I982" s="6">
        <f>G978+20</f>
        <v>80</v>
      </c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</row>
    <row r="983" spans="1:48">
      <c r="A983" s="48"/>
      <c r="B983" s="48"/>
      <c r="C983" s="48"/>
      <c r="D983" s="48">
        <f>ROUNDUP(6+F983/2,0)</f>
        <v>7</v>
      </c>
      <c r="E983" s="48" t="s">
        <v>6</v>
      </c>
      <c r="F983" s="6">
        <f>LEN(G983)</f>
        <v>1</v>
      </c>
      <c r="G983" s="6" t="s">
        <v>22</v>
      </c>
      <c r="H983" s="6">
        <f>H978-20</f>
        <v>180</v>
      </c>
      <c r="I983" s="6">
        <f>I978+5</f>
        <v>515</v>
      </c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</row>
    <row r="984" spans="1:48">
      <c r="A984" s="48"/>
      <c r="B984" s="48"/>
      <c r="C984" s="48"/>
      <c r="D984" s="48">
        <f>ROUNDUP(6+F984/2,0)</f>
        <v>7</v>
      </c>
      <c r="E984" s="48" t="s">
        <v>6</v>
      </c>
      <c r="F984" s="6">
        <f>LEN(G984)</f>
        <v>1</v>
      </c>
      <c r="G984" s="6" t="s">
        <v>21</v>
      </c>
      <c r="H984" s="6">
        <f>H980-190</f>
        <v>310</v>
      </c>
      <c r="I984" s="6">
        <f>G980+20</f>
        <v>80</v>
      </c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</row>
    <row r="985" spans="1:48">
      <c r="A985" s="48"/>
      <c r="B985" s="48"/>
      <c r="C985" s="48"/>
      <c r="D985" s="48">
        <f>ROUNDUP(6+F985/2,0)</f>
        <v>7</v>
      </c>
      <c r="E985" s="48" t="s">
        <v>6</v>
      </c>
      <c r="F985" s="6">
        <f>LEN(G985)</f>
        <v>1</v>
      </c>
      <c r="G985" s="6" t="s">
        <v>22</v>
      </c>
      <c r="H985" s="6">
        <f>H980-20</f>
        <v>480</v>
      </c>
      <c r="I985" s="6">
        <f>I980+5</f>
        <v>575</v>
      </c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</row>
    <row r="986" spans="1:48">
      <c r="A986" s="48"/>
      <c r="B986" s="48"/>
      <c r="C986" s="48"/>
      <c r="D986" s="48">
        <v>7</v>
      </c>
      <c r="E986" s="48" t="s">
        <v>5</v>
      </c>
      <c r="F986" s="6">
        <v>100</v>
      </c>
      <c r="G986" s="50">
        <v>520</v>
      </c>
      <c r="H986" s="6">
        <f>F986+10</f>
        <v>110</v>
      </c>
      <c r="I986" s="6">
        <f>G986+100</f>
        <v>620</v>
      </c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</row>
    <row r="987" spans="1:48">
      <c r="A987" s="48"/>
      <c r="B987" s="48"/>
      <c r="C987" s="48"/>
      <c r="D987" s="48">
        <v>7</v>
      </c>
      <c r="E987" s="48" t="s">
        <v>5</v>
      </c>
      <c r="F987" s="6">
        <f>F986+40</f>
        <v>140</v>
      </c>
      <c r="G987" s="50">
        <f>G986</f>
        <v>520</v>
      </c>
      <c r="H987" s="6">
        <f>F987+10</f>
        <v>150</v>
      </c>
      <c r="I987" s="6">
        <f>G987+100</f>
        <v>620</v>
      </c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</row>
    <row r="988" spans="1:48">
      <c r="A988" s="48"/>
      <c r="B988" s="48"/>
      <c r="C988" s="48"/>
      <c r="D988" s="48">
        <v>7</v>
      </c>
      <c r="E988" s="48" t="s">
        <v>5</v>
      </c>
      <c r="F988" s="6">
        <v>120</v>
      </c>
      <c r="G988" s="50">
        <v>920</v>
      </c>
      <c r="H988" s="6">
        <f>F988+10</f>
        <v>130</v>
      </c>
      <c r="I988" s="6">
        <f>G988+100</f>
        <v>1020</v>
      </c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</row>
    <row r="989" spans="1:48">
      <c r="A989" s="48"/>
      <c r="B989" s="48"/>
      <c r="C989" s="48"/>
      <c r="D989" s="48">
        <v>7</v>
      </c>
      <c r="E989" s="48" t="s">
        <v>5</v>
      </c>
      <c r="F989" s="6">
        <v>75</v>
      </c>
      <c r="G989" s="50">
        <v>965</v>
      </c>
      <c r="H989" s="6">
        <f>F989+100</f>
        <v>175</v>
      </c>
      <c r="I989" s="6">
        <f>G989+10</f>
        <v>975</v>
      </c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</row>
    <row r="990" spans="1:48">
      <c r="A990" s="48">
        <v>70</v>
      </c>
      <c r="B990" s="48">
        <f>A991-A990</f>
        <v>240</v>
      </c>
      <c r="C990" s="48"/>
      <c r="D990" s="48">
        <v>8</v>
      </c>
      <c r="E990" s="48" t="s">
        <v>14</v>
      </c>
      <c r="F990" s="6">
        <v>0</v>
      </c>
      <c r="G990" s="6">
        <v>1</v>
      </c>
      <c r="H990" s="6">
        <v>0</v>
      </c>
      <c r="I990" s="6">
        <v>0</v>
      </c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</row>
    <row r="991" spans="1:48">
      <c r="A991" s="48">
        <v>310</v>
      </c>
      <c r="B991" s="48">
        <f>A992-A990</f>
        <v>400</v>
      </c>
      <c r="C991" s="48"/>
      <c r="D991" s="48">
        <v>4</v>
      </c>
      <c r="E991" s="48" t="s">
        <v>15</v>
      </c>
      <c r="F991" s="6">
        <v>3</v>
      </c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</row>
    <row r="992" spans="1:48">
      <c r="A992" s="48">
        <v>470</v>
      </c>
      <c r="B992" s="48">
        <f>(B991-0.5*B990)/B991</f>
        <v>0.7</v>
      </c>
      <c r="C992" s="48"/>
      <c r="D992" s="48">
        <v>7</v>
      </c>
      <c r="E992" s="48" t="s">
        <v>11</v>
      </c>
      <c r="F992" s="6">
        <v>0</v>
      </c>
      <c r="G992" s="6">
        <f>255*256+192</f>
        <v>65472</v>
      </c>
      <c r="H992" s="6">
        <v>192</v>
      </c>
      <c r="I992" s="6">
        <v>0</v>
      </c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</row>
    <row r="993" spans="1:48">
      <c r="A993" s="48"/>
      <c r="B993" s="48"/>
      <c r="C993" s="48"/>
      <c r="D993" s="48">
        <v>4</v>
      </c>
      <c r="E993" s="48" t="s">
        <v>15</v>
      </c>
      <c r="F993" s="6">
        <v>4</v>
      </c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</row>
    <row r="994" spans="1:48">
      <c r="A994" s="48"/>
      <c r="B994" s="48" t="s">
        <v>23</v>
      </c>
      <c r="C994" s="48"/>
      <c r="D994" s="48">
        <f>F994*2+4</f>
        <v>12</v>
      </c>
      <c r="E994" s="48" t="s">
        <v>4</v>
      </c>
      <c r="F994" s="6">
        <v>4</v>
      </c>
      <c r="G994" s="6">
        <v>70</v>
      </c>
      <c r="H994" s="6">
        <v>200</v>
      </c>
      <c r="I994" s="6">
        <v>310</v>
      </c>
      <c r="J994" s="6">
        <f>L994</f>
        <v>50</v>
      </c>
      <c r="K994" s="6">
        <f>M994</f>
        <v>470</v>
      </c>
      <c r="L994" s="6">
        <f>H994-150</f>
        <v>50</v>
      </c>
      <c r="M994" s="6">
        <f>G994+400</f>
        <v>470</v>
      </c>
      <c r="N994" s="6">
        <f>H994</f>
        <v>200</v>
      </c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>
        <f>AG994+50</f>
        <v>50</v>
      </c>
      <c r="AJ994" s="48">
        <f>AH994</f>
        <v>0</v>
      </c>
      <c r="AK994" s="48">
        <f>AI994</f>
        <v>50</v>
      </c>
      <c r="AL994" s="48">
        <f>AJ994-15</f>
        <v>-15</v>
      </c>
      <c r="AM994" s="48">
        <f>AK994+50</f>
        <v>100</v>
      </c>
      <c r="AN994" s="48">
        <f>AL994</f>
        <v>-15</v>
      </c>
      <c r="AO994" s="48">
        <f>AM994</f>
        <v>100</v>
      </c>
      <c r="AP994" s="48">
        <f>AN994-15</f>
        <v>-30</v>
      </c>
      <c r="AQ994" s="48">
        <f>AO994+50</f>
        <v>150</v>
      </c>
      <c r="AR994" s="48">
        <f>AP994</f>
        <v>-30</v>
      </c>
      <c r="AS994" s="48">
        <f>AQ994</f>
        <v>150</v>
      </c>
      <c r="AT994" s="48">
        <f>AR994-15</f>
        <v>-45</v>
      </c>
      <c r="AU994" s="48">
        <f>AS994+50</f>
        <v>200</v>
      </c>
      <c r="AV994" s="48">
        <f>AT994</f>
        <v>-45</v>
      </c>
    </row>
    <row r="995" spans="1:48">
      <c r="A995" s="48">
        <v>25</v>
      </c>
      <c r="B995" s="48">
        <v>40</v>
      </c>
      <c r="C995" s="48"/>
      <c r="D995" s="48">
        <f>F995*2+4</f>
        <v>30</v>
      </c>
      <c r="E995" s="48" t="s">
        <v>4</v>
      </c>
      <c r="F995" s="6">
        <v>13</v>
      </c>
      <c r="G995" s="6">
        <v>70</v>
      </c>
      <c r="H995" s="6">
        <v>200</v>
      </c>
      <c r="I995" s="6">
        <f>G995</f>
        <v>70</v>
      </c>
      <c r="J995" s="6">
        <f>H995-A995</f>
        <v>175</v>
      </c>
      <c r="K995" s="6">
        <f>I995+B995</f>
        <v>110</v>
      </c>
      <c r="L995" s="6">
        <f>J995</f>
        <v>175</v>
      </c>
      <c r="M995" s="6">
        <f>K995</f>
        <v>110</v>
      </c>
      <c r="N995" s="6">
        <f>L995-A995</f>
        <v>150</v>
      </c>
      <c r="O995" s="6">
        <f>M995+B995</f>
        <v>150</v>
      </c>
      <c r="P995" s="48">
        <f>N995</f>
        <v>150</v>
      </c>
      <c r="Q995" s="48">
        <f>O995</f>
        <v>150</v>
      </c>
      <c r="R995" s="48">
        <f>P995-A995</f>
        <v>125</v>
      </c>
      <c r="S995" s="48">
        <f>Q995+B995</f>
        <v>190</v>
      </c>
      <c r="T995" s="48">
        <f>R995</f>
        <v>125</v>
      </c>
      <c r="U995" s="48">
        <f>S995</f>
        <v>190</v>
      </c>
      <c r="V995" s="48">
        <f>T995-A995</f>
        <v>100</v>
      </c>
      <c r="W995" s="48">
        <f>U995+B995</f>
        <v>230</v>
      </c>
      <c r="X995" s="48">
        <f>V995</f>
        <v>100</v>
      </c>
      <c r="Y995" s="48">
        <f>W995</f>
        <v>230</v>
      </c>
      <c r="Z995" s="48">
        <f>X995-A995</f>
        <v>75</v>
      </c>
      <c r="AA995" s="48">
        <f>Y995+B995</f>
        <v>270</v>
      </c>
      <c r="AB995" s="48">
        <f>Z995</f>
        <v>75</v>
      </c>
      <c r="AC995" s="48">
        <f>AA995</f>
        <v>270</v>
      </c>
      <c r="AD995" s="48">
        <f>AB995-A995</f>
        <v>50</v>
      </c>
      <c r="AE995" s="48">
        <f>AC995+B995</f>
        <v>310</v>
      </c>
      <c r="AF995" s="48">
        <f>AD995</f>
        <v>50</v>
      </c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</row>
    <row r="996" spans="1:48">
      <c r="A996" s="48"/>
      <c r="B996" s="48">
        <v>60</v>
      </c>
      <c r="C996" s="48"/>
      <c r="D996" s="48">
        <v>7</v>
      </c>
      <c r="E996" s="48" t="s">
        <v>5</v>
      </c>
      <c r="F996" s="6">
        <f>H994</f>
        <v>200</v>
      </c>
      <c r="G996" s="50">
        <f>I996-160</f>
        <v>1050</v>
      </c>
      <c r="H996" s="6">
        <f>L994</f>
        <v>50</v>
      </c>
      <c r="I996" s="6">
        <v>1210</v>
      </c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</row>
    <row r="997" spans="1:48">
      <c r="A997" s="48"/>
      <c r="B997" s="48"/>
      <c r="C997" s="48"/>
      <c r="D997" s="48">
        <f>F997*2+4</f>
        <v>32</v>
      </c>
      <c r="E997" s="48" t="s">
        <v>4</v>
      </c>
      <c r="F997" s="6">
        <v>14</v>
      </c>
      <c r="G997" s="6">
        <v>660</v>
      </c>
      <c r="H997" s="6">
        <v>200</v>
      </c>
      <c r="I997" s="6">
        <f>G997</f>
        <v>660</v>
      </c>
      <c r="J997" s="6">
        <f>H997-A995</f>
        <v>175</v>
      </c>
      <c r="K997" s="6">
        <f>I997+B995</f>
        <v>700</v>
      </c>
      <c r="L997" s="6">
        <f>J997</f>
        <v>175</v>
      </c>
      <c r="M997" s="6">
        <f>K997</f>
        <v>700</v>
      </c>
      <c r="N997" s="6">
        <f>L997-A995</f>
        <v>150</v>
      </c>
      <c r="O997" s="6">
        <f>M997+B995</f>
        <v>740</v>
      </c>
      <c r="P997" s="48">
        <f>N997</f>
        <v>150</v>
      </c>
      <c r="Q997" s="48">
        <f>O997</f>
        <v>740</v>
      </c>
      <c r="R997" s="48">
        <f>P997-A995</f>
        <v>125</v>
      </c>
      <c r="S997" s="48">
        <f>Q997+B995</f>
        <v>780</v>
      </c>
      <c r="T997" s="48">
        <f>R997</f>
        <v>125</v>
      </c>
      <c r="U997" s="48">
        <f>S997</f>
        <v>780</v>
      </c>
      <c r="V997" s="48">
        <f>T997-A995</f>
        <v>100</v>
      </c>
      <c r="W997" s="48">
        <f>U997+B995</f>
        <v>820</v>
      </c>
      <c r="X997" s="48">
        <f>V997</f>
        <v>100</v>
      </c>
      <c r="Y997" s="48">
        <f>W997</f>
        <v>820</v>
      </c>
      <c r="Z997" s="48">
        <f>X997-A995</f>
        <v>75</v>
      </c>
      <c r="AA997" s="48">
        <f>Y997+B995</f>
        <v>860</v>
      </c>
      <c r="AB997" s="48">
        <f>Z997</f>
        <v>75</v>
      </c>
      <c r="AC997" s="48">
        <f>AA997</f>
        <v>860</v>
      </c>
      <c r="AD997" s="48">
        <f>AB997-A995</f>
        <v>50</v>
      </c>
      <c r="AE997" s="48">
        <f>AC997+B995</f>
        <v>900</v>
      </c>
      <c r="AF997" s="48">
        <f>AD997</f>
        <v>50</v>
      </c>
      <c r="AG997" s="48">
        <f>AE997</f>
        <v>900</v>
      </c>
      <c r="AH997" s="48">
        <f>H997</f>
        <v>200</v>
      </c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</row>
    <row r="998" spans="1:48">
      <c r="A998" s="48"/>
      <c r="B998" s="48"/>
      <c r="C998" s="48"/>
      <c r="D998" s="48">
        <f>F998*2+4</f>
        <v>12</v>
      </c>
      <c r="E998" s="48" t="s">
        <v>4</v>
      </c>
      <c r="F998" s="6">
        <v>4</v>
      </c>
      <c r="G998" s="6">
        <v>70</v>
      </c>
      <c r="H998" s="6">
        <v>500</v>
      </c>
      <c r="I998" s="6">
        <f>I994+B996</f>
        <v>370</v>
      </c>
      <c r="J998" s="6">
        <f>L998</f>
        <v>350</v>
      </c>
      <c r="K998" s="6">
        <f>M998</f>
        <v>530</v>
      </c>
      <c r="L998" s="6">
        <f>H998-150</f>
        <v>350</v>
      </c>
      <c r="M998" s="6">
        <f>G998+400+B996</f>
        <v>530</v>
      </c>
      <c r="N998" s="6">
        <f>H998</f>
        <v>500</v>
      </c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</row>
    <row r="999" spans="1:48">
      <c r="A999" s="48">
        <v>25</v>
      </c>
      <c r="B999" s="48">
        <v>50</v>
      </c>
      <c r="C999" s="48"/>
      <c r="D999" s="48">
        <f>F999*2+4</f>
        <v>30</v>
      </c>
      <c r="E999" s="48" t="s">
        <v>4</v>
      </c>
      <c r="F999" s="6">
        <v>13</v>
      </c>
      <c r="G999" s="6">
        <v>70</v>
      </c>
      <c r="H999" s="6">
        <v>500</v>
      </c>
      <c r="I999" s="6">
        <f>G999</f>
        <v>70</v>
      </c>
      <c r="J999" s="6">
        <f>H999-A999</f>
        <v>475</v>
      </c>
      <c r="K999" s="6">
        <f>I999+B999</f>
        <v>120</v>
      </c>
      <c r="L999" s="6">
        <f>J999</f>
        <v>475</v>
      </c>
      <c r="M999" s="6">
        <f>K999</f>
        <v>120</v>
      </c>
      <c r="N999" s="6">
        <f>L999-A999</f>
        <v>450</v>
      </c>
      <c r="O999" s="6">
        <f>M999+B999</f>
        <v>170</v>
      </c>
      <c r="P999" s="48">
        <f>N999</f>
        <v>450</v>
      </c>
      <c r="Q999" s="48">
        <f>O999</f>
        <v>170</v>
      </c>
      <c r="R999" s="48">
        <f>P999-A999</f>
        <v>425</v>
      </c>
      <c r="S999" s="48">
        <f>Q999+B999</f>
        <v>220</v>
      </c>
      <c r="T999" s="48">
        <f>R999</f>
        <v>425</v>
      </c>
      <c r="U999" s="48">
        <f>S999</f>
        <v>220</v>
      </c>
      <c r="V999" s="48">
        <f>T999-A999</f>
        <v>400</v>
      </c>
      <c r="W999" s="48">
        <f>U999+B999</f>
        <v>270</v>
      </c>
      <c r="X999" s="48">
        <f>V999</f>
        <v>400</v>
      </c>
      <c r="Y999" s="48">
        <f>W999</f>
        <v>270</v>
      </c>
      <c r="Z999" s="48">
        <f>X999-A999</f>
        <v>375</v>
      </c>
      <c r="AA999" s="48">
        <f>Y999+B999</f>
        <v>320</v>
      </c>
      <c r="AB999" s="48">
        <f>Z999</f>
        <v>375</v>
      </c>
      <c r="AC999" s="48">
        <f>AA999</f>
        <v>320</v>
      </c>
      <c r="AD999" s="48">
        <f>AB999-A999</f>
        <v>350</v>
      </c>
      <c r="AE999" s="48">
        <f>AC999+B999</f>
        <v>370</v>
      </c>
      <c r="AF999" s="48">
        <f>AD999</f>
        <v>350</v>
      </c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</row>
    <row r="1000" spans="1:48">
      <c r="A1000" s="48"/>
      <c r="B1000" s="48"/>
      <c r="C1000" s="48"/>
      <c r="D1000" s="48">
        <v>4</v>
      </c>
      <c r="E1000" s="48" t="s">
        <v>15</v>
      </c>
      <c r="F1000" s="6">
        <v>2</v>
      </c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</row>
    <row r="1001" spans="1:48">
      <c r="A1001" s="48"/>
      <c r="B1001" s="48"/>
      <c r="C1001" s="48">
        <v>90</v>
      </c>
      <c r="D1001" s="48">
        <v>44</v>
      </c>
      <c r="E1001" s="1" t="s">
        <v>112</v>
      </c>
      <c r="F1001" s="48">
        <v>20</v>
      </c>
      <c r="G1001" s="6">
        <f>G994</f>
        <v>70</v>
      </c>
      <c r="H1001" s="6">
        <f>H994+C1001</f>
        <v>290</v>
      </c>
      <c r="I1001" s="6">
        <f>K994</f>
        <v>470</v>
      </c>
      <c r="J1001" s="6">
        <f>H1001</f>
        <v>290</v>
      </c>
      <c r="K1001" s="6" t="s">
        <v>24</v>
      </c>
      <c r="P1001" s="48"/>
      <c r="Q1001" s="48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9"/>
      <c r="AJ1001" s="49"/>
      <c r="AK1001" s="49"/>
      <c r="AL1001" s="49"/>
      <c r="AM1001" s="49"/>
      <c r="AN1001" s="49"/>
      <c r="AO1001" s="49"/>
      <c r="AP1001" s="49"/>
      <c r="AQ1001" s="49"/>
      <c r="AR1001" s="49"/>
      <c r="AS1001" s="49"/>
      <c r="AT1001" s="49"/>
      <c r="AU1001" s="49"/>
      <c r="AV1001" s="49"/>
    </row>
    <row r="1002" spans="1:48">
      <c r="A1002" s="48"/>
      <c r="B1002" s="48"/>
      <c r="C1002" s="48">
        <v>90</v>
      </c>
      <c r="D1002" s="48">
        <v>44</v>
      </c>
      <c r="E1002" s="1" t="s">
        <v>112</v>
      </c>
      <c r="F1002" s="48">
        <v>20</v>
      </c>
      <c r="G1002" s="6">
        <f>G1001</f>
        <v>70</v>
      </c>
      <c r="H1002" s="6">
        <f>H1001+300</f>
        <v>590</v>
      </c>
      <c r="I1002" s="6">
        <f>I1001+B996</f>
        <v>530</v>
      </c>
      <c r="J1002" s="6">
        <f>H1002</f>
        <v>590</v>
      </c>
      <c r="K1002" s="6" t="s">
        <v>104</v>
      </c>
      <c r="P1002" s="48"/>
      <c r="Q1002" s="48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9"/>
      <c r="AJ1002" s="49"/>
      <c r="AK1002" s="49"/>
      <c r="AL1002" s="49"/>
      <c r="AM1002" s="49"/>
      <c r="AN1002" s="49"/>
      <c r="AO1002" s="49"/>
      <c r="AP1002" s="49"/>
      <c r="AQ1002" s="49"/>
      <c r="AR1002" s="49"/>
      <c r="AS1002" s="49"/>
      <c r="AT1002" s="49"/>
      <c r="AU1002" s="49"/>
      <c r="AV1002" s="49"/>
    </row>
    <row r="1003" spans="1:48">
      <c r="A1003" s="48"/>
      <c r="B1003" s="48" t="s">
        <v>8</v>
      </c>
      <c r="C1003" s="48"/>
      <c r="D1003" s="48">
        <v>8</v>
      </c>
      <c r="E1003" s="48" t="s">
        <v>1</v>
      </c>
      <c r="F1003" s="6">
        <v>2</v>
      </c>
      <c r="G1003" s="6">
        <f>K1005</f>
        <v>310</v>
      </c>
      <c r="H1003" s="6">
        <v>200</v>
      </c>
      <c r="I1003" s="6">
        <f>G1003</f>
        <v>310</v>
      </c>
      <c r="J1003" s="6">
        <f>H1003-150</f>
        <v>50</v>
      </c>
      <c r="P1003" s="48"/>
      <c r="Q1003" s="48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9"/>
      <c r="AJ1003" s="49"/>
      <c r="AK1003" s="49"/>
      <c r="AL1003" s="49"/>
      <c r="AM1003" s="49"/>
      <c r="AN1003" s="49"/>
      <c r="AO1003" s="49"/>
      <c r="AP1003" s="49"/>
      <c r="AQ1003" s="49"/>
      <c r="AR1003" s="49"/>
      <c r="AS1003" s="49"/>
      <c r="AT1003" s="49"/>
      <c r="AU1003" s="49"/>
      <c r="AV1003" s="49"/>
    </row>
    <row r="1004" spans="1:48">
      <c r="A1004" s="48"/>
      <c r="B1004" s="48"/>
      <c r="C1004" s="48"/>
      <c r="D1004" s="48">
        <v>8</v>
      </c>
      <c r="E1004" s="48" t="s">
        <v>1</v>
      </c>
      <c r="F1004" s="6">
        <v>2</v>
      </c>
      <c r="G1004" s="6">
        <f>K1006</f>
        <v>370</v>
      </c>
      <c r="H1004" s="6">
        <f>H1003+300</f>
        <v>500</v>
      </c>
      <c r="I1004" s="6">
        <f>G1004</f>
        <v>370</v>
      </c>
      <c r="J1004" s="6">
        <f>H1004-150</f>
        <v>350</v>
      </c>
      <c r="P1004" s="48"/>
      <c r="Q1004" s="48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9"/>
      <c r="AJ1004" s="49"/>
      <c r="AK1004" s="49"/>
      <c r="AL1004" s="49"/>
      <c r="AM1004" s="49"/>
      <c r="AN1004" s="49"/>
      <c r="AO1004" s="49"/>
      <c r="AP1004" s="49"/>
      <c r="AQ1004" s="49"/>
      <c r="AR1004" s="49"/>
      <c r="AS1004" s="49"/>
      <c r="AT1004" s="49"/>
      <c r="AU1004" s="49"/>
      <c r="AV1004" s="49"/>
    </row>
    <row r="1005" spans="1:48" s="48" customFormat="1">
      <c r="C1005" s="48">
        <v>40</v>
      </c>
      <c r="D1005" s="48">
        <v>64</v>
      </c>
      <c r="E1005" s="1" t="s">
        <v>114</v>
      </c>
      <c r="F1005" s="48">
        <v>20</v>
      </c>
      <c r="G1005" s="6">
        <f>G994</f>
        <v>70</v>
      </c>
      <c r="H1005" s="6">
        <f>H994+C1005</f>
        <v>240</v>
      </c>
      <c r="I1005" s="6">
        <f>M994</f>
        <v>470</v>
      </c>
      <c r="J1005" s="6">
        <f>H1005</f>
        <v>240</v>
      </c>
      <c r="K1005" s="6">
        <f>I994</f>
        <v>310</v>
      </c>
      <c r="L1005" s="6">
        <f>J1005</f>
        <v>240</v>
      </c>
      <c r="M1005" s="6" t="s">
        <v>26</v>
      </c>
      <c r="N1005" s="6" t="s">
        <v>27</v>
      </c>
      <c r="O1005" s="6"/>
      <c r="AI1005" s="49"/>
      <c r="AJ1005" s="49"/>
      <c r="AK1005" s="49"/>
      <c r="AL1005" s="49"/>
      <c r="AM1005" s="49"/>
      <c r="AN1005" s="49"/>
      <c r="AO1005" s="49"/>
      <c r="AP1005" s="49"/>
      <c r="AQ1005" s="49"/>
      <c r="AR1005" s="49"/>
      <c r="AS1005" s="49"/>
      <c r="AT1005" s="49"/>
      <c r="AU1005" s="49"/>
      <c r="AV1005" s="49"/>
    </row>
    <row r="1006" spans="1:48" s="48" customFormat="1">
      <c r="C1006" s="48">
        <v>40</v>
      </c>
      <c r="D1006" s="48">
        <v>64</v>
      </c>
      <c r="E1006" s="1" t="s">
        <v>114</v>
      </c>
      <c r="F1006" s="48">
        <v>20</v>
      </c>
      <c r="G1006" s="6">
        <f>G1005</f>
        <v>70</v>
      </c>
      <c r="H1006" s="6">
        <f>H1005+300</f>
        <v>540</v>
      </c>
      <c r="I1006" s="6">
        <f>M998</f>
        <v>530</v>
      </c>
      <c r="J1006" s="6">
        <f>H1006</f>
        <v>540</v>
      </c>
      <c r="K1006" s="6">
        <f>K1005+B996</f>
        <v>370</v>
      </c>
      <c r="L1006" s="6">
        <f>J1006</f>
        <v>540</v>
      </c>
      <c r="M1006" s="6" t="s">
        <v>105</v>
      </c>
      <c r="N1006" s="6" t="s">
        <v>27</v>
      </c>
      <c r="O1006" s="6"/>
      <c r="AI1006" s="49"/>
      <c r="AJ1006" s="49"/>
      <c r="AK1006" s="49"/>
      <c r="AL1006" s="49"/>
      <c r="AM1006" s="49"/>
      <c r="AN1006" s="49"/>
      <c r="AO1006" s="49"/>
      <c r="AP1006" s="49"/>
      <c r="AQ1006" s="49"/>
      <c r="AR1006" s="49"/>
      <c r="AS1006" s="49"/>
      <c r="AT1006" s="49"/>
      <c r="AU1006" s="49"/>
      <c r="AV1006" s="49"/>
    </row>
    <row r="1007" spans="1:48">
      <c r="A1007" s="48"/>
      <c r="B1007" s="48"/>
      <c r="C1007" s="48">
        <v>40</v>
      </c>
      <c r="D1007" s="48">
        <v>44</v>
      </c>
      <c r="E1007" s="1" t="s">
        <v>112</v>
      </c>
      <c r="F1007" s="48">
        <v>20</v>
      </c>
      <c r="G1007" s="6">
        <f>K1005</f>
        <v>310</v>
      </c>
      <c r="H1007" s="6">
        <v>330</v>
      </c>
      <c r="I1007" s="6">
        <f>K1006</f>
        <v>370</v>
      </c>
      <c r="J1007" s="6">
        <f>H1007</f>
        <v>330</v>
      </c>
      <c r="K1007" s="6" t="s">
        <v>61</v>
      </c>
      <c r="P1007" s="48"/>
      <c r="Q1007" s="48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9"/>
      <c r="AJ1007" s="49"/>
      <c r="AK1007" s="49"/>
      <c r="AL1007" s="49"/>
      <c r="AM1007" s="49"/>
      <c r="AN1007" s="49"/>
      <c r="AO1007" s="49"/>
      <c r="AP1007" s="49"/>
      <c r="AQ1007" s="49"/>
      <c r="AR1007" s="49"/>
      <c r="AS1007" s="49"/>
      <c r="AT1007" s="49"/>
      <c r="AU1007" s="49"/>
      <c r="AV1007" s="49"/>
    </row>
    <row r="1008" spans="1:48" s="48" customFormat="1">
      <c r="D1008" s="48">
        <v>28</v>
      </c>
      <c r="E1008" s="48" t="s">
        <v>12</v>
      </c>
      <c r="F1008" s="6">
        <v>36</v>
      </c>
      <c r="G1008" s="6">
        <v>0</v>
      </c>
      <c r="H1008" s="6">
        <v>900</v>
      </c>
      <c r="I1008" s="6">
        <v>0</v>
      </c>
      <c r="J1008" s="6">
        <v>400</v>
      </c>
      <c r="K1008" s="6">
        <v>0</v>
      </c>
      <c r="L1008" s="6">
        <v>0</v>
      </c>
      <c r="M1008" s="6">
        <v>0</v>
      </c>
      <c r="N1008" s="6">
        <v>0</v>
      </c>
      <c r="O1008" s="6" t="s">
        <v>19</v>
      </c>
      <c r="AI1008" s="49"/>
      <c r="AJ1008" s="49"/>
      <c r="AK1008" s="49"/>
      <c r="AL1008" s="49"/>
      <c r="AM1008" s="49"/>
      <c r="AN1008" s="49"/>
      <c r="AO1008" s="49"/>
      <c r="AP1008" s="49"/>
      <c r="AQ1008" s="49"/>
      <c r="AR1008" s="49"/>
      <c r="AS1008" s="49"/>
      <c r="AT1008" s="49"/>
      <c r="AU1008" s="49"/>
      <c r="AV1008" s="49"/>
    </row>
    <row r="1009" spans="1:48" s="48" customFormat="1">
      <c r="D1009" s="48">
        <v>4</v>
      </c>
      <c r="E1009" s="48" t="s">
        <v>15</v>
      </c>
      <c r="F1009" s="6">
        <v>5</v>
      </c>
      <c r="G1009" s="6"/>
      <c r="H1009" s="6"/>
      <c r="I1009" s="6"/>
      <c r="J1009" s="6"/>
      <c r="K1009" s="6"/>
      <c r="L1009" s="6"/>
      <c r="M1009" s="6"/>
      <c r="N1009" s="6"/>
      <c r="O1009" s="6"/>
      <c r="AI1009" s="49"/>
      <c r="AJ1009" s="49"/>
      <c r="AK1009" s="49"/>
      <c r="AL1009" s="49"/>
      <c r="AM1009" s="49"/>
      <c r="AN1009" s="49"/>
      <c r="AO1009" s="49"/>
      <c r="AP1009" s="49"/>
      <c r="AQ1009" s="49"/>
      <c r="AR1009" s="49"/>
      <c r="AS1009" s="49"/>
      <c r="AT1009" s="49"/>
      <c r="AU1009" s="49"/>
      <c r="AV1009" s="49"/>
    </row>
    <row r="1010" spans="1:48" s="48" customFormat="1">
      <c r="C1010" s="48">
        <v>-40</v>
      </c>
      <c r="D1010" s="48">
        <v>44</v>
      </c>
      <c r="E1010" s="1" t="s">
        <v>112</v>
      </c>
      <c r="F1010" s="48">
        <v>20</v>
      </c>
      <c r="G1010" s="6">
        <f>G994+C1010</f>
        <v>30</v>
      </c>
      <c r="H1010" s="6">
        <f>H994</f>
        <v>200</v>
      </c>
      <c r="I1010" s="6">
        <f>G1010</f>
        <v>30</v>
      </c>
      <c r="J1010" s="6">
        <f>L994</f>
        <v>50</v>
      </c>
      <c r="K1010" s="6" t="s">
        <v>25</v>
      </c>
      <c r="L1010" s="6"/>
      <c r="M1010" s="6"/>
      <c r="N1010" s="6"/>
      <c r="O1010" s="6"/>
      <c r="AI1010" s="49"/>
      <c r="AJ1010" s="49"/>
      <c r="AK1010" s="49"/>
      <c r="AL1010" s="49"/>
      <c r="AM1010" s="49"/>
      <c r="AN1010" s="49"/>
      <c r="AO1010" s="49"/>
      <c r="AP1010" s="49"/>
      <c r="AQ1010" s="49"/>
      <c r="AR1010" s="49"/>
      <c r="AS1010" s="49"/>
      <c r="AT1010" s="49"/>
      <c r="AU1010" s="49"/>
      <c r="AV1010" s="49"/>
    </row>
    <row r="1011" spans="1:48">
      <c r="A1011" s="48"/>
      <c r="B1011" s="48"/>
      <c r="C1011" s="48">
        <v>-40</v>
      </c>
      <c r="D1011" s="48">
        <v>44</v>
      </c>
      <c r="E1011" s="1" t="s">
        <v>112</v>
      </c>
      <c r="F1011" s="48">
        <v>20</v>
      </c>
      <c r="G1011" s="6">
        <f>G1010</f>
        <v>30</v>
      </c>
      <c r="H1011" s="6">
        <f>H1010+300</f>
        <v>500</v>
      </c>
      <c r="I1011" s="6">
        <f>G1011</f>
        <v>30</v>
      </c>
      <c r="J1011" s="6">
        <f>L998</f>
        <v>350</v>
      </c>
      <c r="K1011" s="6" t="s">
        <v>25</v>
      </c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9"/>
      <c r="AJ1011" s="49"/>
      <c r="AK1011" s="49"/>
      <c r="AL1011" s="49"/>
      <c r="AM1011" s="49"/>
      <c r="AN1011" s="49"/>
      <c r="AO1011" s="49"/>
      <c r="AP1011" s="49"/>
      <c r="AQ1011" s="49"/>
      <c r="AR1011" s="49"/>
      <c r="AS1011" s="49"/>
      <c r="AT1011" s="49"/>
      <c r="AU1011" s="49"/>
      <c r="AV1011" s="49"/>
    </row>
    <row r="1012" spans="1:48" s="48" customFormat="1">
      <c r="D1012" s="48">
        <v>4</v>
      </c>
      <c r="E1012" s="48" t="s">
        <v>15</v>
      </c>
      <c r="F1012" s="6">
        <v>1</v>
      </c>
      <c r="G1012" s="6"/>
      <c r="H1012" s="6"/>
      <c r="I1012" s="6"/>
      <c r="J1012" s="6"/>
      <c r="K1012" s="6"/>
      <c r="L1012" s="6"/>
      <c r="M1012" s="6"/>
      <c r="N1012" s="6"/>
      <c r="O1012" s="6"/>
      <c r="AI1012" s="49"/>
      <c r="AJ1012" s="49"/>
      <c r="AK1012" s="49"/>
      <c r="AL1012" s="49"/>
      <c r="AM1012" s="49"/>
      <c r="AN1012" s="49"/>
      <c r="AO1012" s="49"/>
      <c r="AP1012" s="49"/>
      <c r="AQ1012" s="49"/>
      <c r="AR1012" s="49"/>
      <c r="AS1012" s="49"/>
      <c r="AT1012" s="49"/>
      <c r="AU1012" s="49"/>
      <c r="AV1012" s="49"/>
    </row>
    <row r="1013" spans="1:48">
      <c r="A1013" s="48"/>
      <c r="B1013" s="48"/>
      <c r="C1013" s="48"/>
      <c r="D1013" s="49">
        <v>18</v>
      </c>
      <c r="E1013" s="49" t="s">
        <v>111</v>
      </c>
      <c r="F1013" s="49">
        <v>20</v>
      </c>
      <c r="G1013" s="49">
        <v>880</v>
      </c>
      <c r="H1013" s="49">
        <v>210</v>
      </c>
      <c r="I1013" s="49">
        <v>880</v>
      </c>
      <c r="J1013" s="49">
        <v>130</v>
      </c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9"/>
      <c r="AJ1013" s="49"/>
      <c r="AK1013" s="49"/>
      <c r="AL1013" s="49"/>
      <c r="AM1013" s="49"/>
      <c r="AN1013" s="49"/>
      <c r="AO1013" s="49"/>
      <c r="AP1013" s="49"/>
      <c r="AQ1013" s="49"/>
      <c r="AR1013" s="49"/>
      <c r="AS1013" s="49"/>
      <c r="AT1013" s="49"/>
      <c r="AU1013" s="49"/>
      <c r="AV1013" s="49"/>
    </row>
    <row r="1014" spans="1:48">
      <c r="A1014" s="48"/>
      <c r="B1014" s="48"/>
      <c r="C1014" s="48"/>
      <c r="D1014" s="48">
        <v>11</v>
      </c>
      <c r="E1014" s="48" t="s">
        <v>98</v>
      </c>
      <c r="F1014" s="6">
        <f>(J1014+L1014)/2+10</f>
        <v>220</v>
      </c>
      <c r="G1014" s="6">
        <f>(K1014+M1014)/2</f>
        <v>930</v>
      </c>
      <c r="H1014" s="6">
        <f>(J1014+L1014)/2</f>
        <v>210</v>
      </c>
      <c r="I1014" s="6">
        <f>(K1014+M1014)/2-10</f>
        <v>920</v>
      </c>
      <c r="J1014" s="6">
        <f>H1013-50</f>
        <v>160</v>
      </c>
      <c r="K1014" s="6">
        <f>G1013</f>
        <v>880</v>
      </c>
      <c r="L1014" s="6">
        <f>J1014+100</f>
        <v>260</v>
      </c>
      <c r="M1014" s="6">
        <f>I1013+100</f>
        <v>980</v>
      </c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9"/>
      <c r="AJ1014" s="49"/>
      <c r="AK1014" s="49"/>
      <c r="AL1014" s="49"/>
      <c r="AM1014" s="49"/>
      <c r="AN1014" s="49"/>
      <c r="AO1014" s="49"/>
      <c r="AP1014" s="49"/>
      <c r="AQ1014" s="49"/>
      <c r="AR1014" s="49"/>
      <c r="AS1014" s="49"/>
      <c r="AT1014" s="49"/>
      <c r="AU1014" s="49"/>
      <c r="AV1014" s="49"/>
    </row>
    <row r="1015" spans="1:48">
      <c r="A1015" s="48"/>
      <c r="B1015" s="48"/>
      <c r="C1015" s="48"/>
      <c r="D1015" s="48">
        <f>F1015*2+4</f>
        <v>8</v>
      </c>
      <c r="E1015" s="48" t="s">
        <v>1</v>
      </c>
      <c r="F1015" s="6">
        <v>2</v>
      </c>
      <c r="G1015" s="6">
        <v>928</v>
      </c>
      <c r="H1015" s="6">
        <v>260</v>
      </c>
      <c r="I1015" s="6">
        <f>G1015+52</f>
        <v>980</v>
      </c>
      <c r="J1015" s="6">
        <f>H1015</f>
        <v>260</v>
      </c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9"/>
      <c r="AJ1015" s="49"/>
      <c r="AK1015" s="49"/>
      <c r="AL1015" s="49"/>
      <c r="AM1015" s="49"/>
      <c r="AN1015" s="49"/>
      <c r="AO1015" s="49"/>
      <c r="AP1015" s="49"/>
      <c r="AQ1015" s="49"/>
      <c r="AR1015" s="49"/>
      <c r="AS1015" s="49"/>
      <c r="AT1015" s="49"/>
      <c r="AU1015" s="49"/>
      <c r="AV1015" s="49"/>
    </row>
    <row r="1016" spans="1:48">
      <c r="A1016" s="48"/>
      <c r="B1016" s="48"/>
      <c r="C1016" s="48"/>
      <c r="D1016" s="48">
        <v>4</v>
      </c>
      <c r="E1016" s="48" t="s">
        <v>15</v>
      </c>
      <c r="F1016" s="6">
        <v>0</v>
      </c>
      <c r="G1016" s="50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9"/>
      <c r="AJ1016" s="49"/>
      <c r="AK1016" s="49"/>
      <c r="AL1016" s="49"/>
      <c r="AM1016" s="49"/>
      <c r="AN1016" s="49"/>
      <c r="AO1016" s="49"/>
      <c r="AP1016" s="49"/>
      <c r="AQ1016" s="49"/>
      <c r="AR1016" s="49"/>
      <c r="AS1016" s="49"/>
      <c r="AT1016" s="49"/>
      <c r="AU1016" s="49"/>
      <c r="AV1016" s="49"/>
    </row>
    <row r="1017" spans="1:48">
      <c r="A1017" s="48"/>
      <c r="B1017" s="48"/>
      <c r="C1017" s="48"/>
      <c r="D1017" s="48">
        <f>ROUNDUP(6+F1017/2,0)</f>
        <v>12</v>
      </c>
      <c r="E1017" s="48" t="s">
        <v>6</v>
      </c>
      <c r="F1017" s="6">
        <f>LEN(G1017)</f>
        <v>11</v>
      </c>
      <c r="G1017" s="6" t="s">
        <v>54</v>
      </c>
      <c r="H1017" s="6">
        <f>H1015-20</f>
        <v>240</v>
      </c>
      <c r="I1017" s="6">
        <f>I1015+10</f>
        <v>990</v>
      </c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9"/>
      <c r="AJ1017" s="49"/>
      <c r="AK1017" s="49"/>
      <c r="AL1017" s="49"/>
      <c r="AM1017" s="49"/>
      <c r="AN1017" s="49"/>
      <c r="AO1017" s="49"/>
      <c r="AP1017" s="49"/>
      <c r="AQ1017" s="49"/>
      <c r="AR1017" s="49"/>
      <c r="AS1017" s="49"/>
      <c r="AT1017" s="49"/>
      <c r="AU1017" s="49"/>
      <c r="AV1017" s="49"/>
    </row>
    <row r="1018" spans="1:48">
      <c r="A1018" s="48">
        <v>675</v>
      </c>
      <c r="B1018" s="48">
        <v>325</v>
      </c>
      <c r="C1018" s="48"/>
      <c r="D1018" s="48">
        <v>11</v>
      </c>
      <c r="E1018" s="48" t="s">
        <v>98</v>
      </c>
      <c r="F1018" s="6">
        <f>(J1018+L1018)/2</f>
        <v>325</v>
      </c>
      <c r="G1018" s="6">
        <f>(K1018+M1018)/2+10</f>
        <v>685</v>
      </c>
      <c r="H1018" s="6">
        <f>(J1018+L1018)/2+10</f>
        <v>335</v>
      </c>
      <c r="I1018" s="6">
        <f>(K1018+M1018)/2</f>
        <v>675</v>
      </c>
      <c r="J1018" s="6">
        <f>B1018-75</f>
        <v>250</v>
      </c>
      <c r="K1018" s="6">
        <f>A1018-100</f>
        <v>575</v>
      </c>
      <c r="L1018" s="6">
        <f>J1018+150</f>
        <v>400</v>
      </c>
      <c r="M1018" s="6">
        <f>K1018+200</f>
        <v>775</v>
      </c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9"/>
      <c r="AJ1018" s="49"/>
      <c r="AK1018" s="49"/>
      <c r="AL1018" s="49"/>
      <c r="AM1018" s="49"/>
      <c r="AN1018" s="49"/>
      <c r="AO1018" s="49"/>
      <c r="AP1018" s="49"/>
      <c r="AQ1018" s="49"/>
      <c r="AR1018" s="49"/>
      <c r="AS1018" s="49"/>
      <c r="AT1018" s="49"/>
      <c r="AU1018" s="49"/>
      <c r="AV1018" s="49"/>
    </row>
    <row r="1019" spans="1:48">
      <c r="A1019" s="48">
        <f>A1018</f>
        <v>675</v>
      </c>
      <c r="B1019" s="48">
        <f>B1018</f>
        <v>325</v>
      </c>
      <c r="C1019" s="48"/>
      <c r="D1019" s="48">
        <v>11</v>
      </c>
      <c r="E1019" s="48" t="s">
        <v>98</v>
      </c>
      <c r="F1019" s="6">
        <f>(J1019+L1019)/2</f>
        <v>325</v>
      </c>
      <c r="G1019" s="6">
        <f>(K1019+M1019)/2+10</f>
        <v>685</v>
      </c>
      <c r="H1019" s="6">
        <f>(J1019+L1019)/2+10</f>
        <v>335</v>
      </c>
      <c r="I1019" s="6">
        <f>(K1019+M1019)/2</f>
        <v>675</v>
      </c>
      <c r="J1019" s="6">
        <f>B1019-100</f>
        <v>225</v>
      </c>
      <c r="K1019" s="6">
        <f>A1019-125</f>
        <v>550</v>
      </c>
      <c r="L1019" s="6">
        <f>J1019+200</f>
        <v>425</v>
      </c>
      <c r="M1019" s="6">
        <f>K1019+250</f>
        <v>800</v>
      </c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9"/>
      <c r="AJ1019" s="49"/>
      <c r="AK1019" s="49"/>
      <c r="AL1019" s="49"/>
      <c r="AM1019" s="49"/>
      <c r="AN1019" s="49"/>
      <c r="AO1019" s="49"/>
      <c r="AP1019" s="49"/>
      <c r="AQ1019" s="49"/>
      <c r="AR1019" s="49"/>
      <c r="AS1019" s="49"/>
      <c r="AT1019" s="49"/>
      <c r="AU1019" s="49"/>
      <c r="AV1019" s="49"/>
    </row>
    <row r="1020" spans="1:48">
      <c r="A1020" s="48"/>
      <c r="B1020" s="48"/>
      <c r="C1020" s="48"/>
      <c r="D1020" s="48">
        <f>F1020*2+4</f>
        <v>12</v>
      </c>
      <c r="E1020" s="48" t="s">
        <v>1</v>
      </c>
      <c r="F1020" s="6">
        <v>4</v>
      </c>
      <c r="G1020" s="6">
        <f>A1018+100</f>
        <v>775</v>
      </c>
      <c r="H1020" s="6">
        <f>B1018</f>
        <v>325</v>
      </c>
      <c r="I1020" s="6">
        <f>G1020</f>
        <v>775</v>
      </c>
      <c r="J1020" s="6">
        <f>H1020-150</f>
        <v>175</v>
      </c>
      <c r="K1020" s="6">
        <f>I1020+25</f>
        <v>800</v>
      </c>
      <c r="L1020" s="6">
        <f>J1020</f>
        <v>175</v>
      </c>
      <c r="M1020" s="6">
        <f>K1020</f>
        <v>800</v>
      </c>
      <c r="N1020" s="6">
        <f>L1020+150</f>
        <v>325</v>
      </c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9"/>
      <c r="AJ1020" s="49"/>
      <c r="AK1020" s="49"/>
      <c r="AL1020" s="49"/>
      <c r="AM1020" s="49"/>
      <c r="AN1020" s="49"/>
      <c r="AO1020" s="49"/>
      <c r="AP1020" s="49"/>
      <c r="AQ1020" s="49"/>
      <c r="AR1020" s="49"/>
      <c r="AS1020" s="49"/>
      <c r="AT1020" s="49"/>
      <c r="AU1020" s="49"/>
      <c r="AV1020" s="49"/>
    </row>
    <row r="1021" spans="1:48">
      <c r="A1021" s="48"/>
      <c r="B1021" s="48"/>
      <c r="C1021" s="48"/>
      <c r="D1021" s="48">
        <f>F1021*2+4</f>
        <v>18</v>
      </c>
      <c r="E1021" s="48" t="s">
        <v>1</v>
      </c>
      <c r="F1021" s="6">
        <v>7</v>
      </c>
      <c r="G1021" s="6">
        <f>A1018</f>
        <v>675</v>
      </c>
      <c r="H1021" s="6">
        <f>B1018+75</f>
        <v>400</v>
      </c>
      <c r="I1021" s="6">
        <f>G1021-50</f>
        <v>625</v>
      </c>
      <c r="J1021" s="6">
        <f>H1021</f>
        <v>400</v>
      </c>
      <c r="K1021" s="6">
        <f>I1021</f>
        <v>625</v>
      </c>
      <c r="L1021" s="6">
        <f>J1021-50</f>
        <v>350</v>
      </c>
      <c r="M1021" s="6">
        <f>I1021-125</f>
        <v>500</v>
      </c>
      <c r="N1021" s="6">
        <f>J1021+13</f>
        <v>413</v>
      </c>
      <c r="O1021" s="6">
        <f>Q1021</f>
        <v>625</v>
      </c>
      <c r="P1021" s="48">
        <f>R1021+50</f>
        <v>475</v>
      </c>
      <c r="Q1021" s="48">
        <f>I1021</f>
        <v>625</v>
      </c>
      <c r="R1021" s="48">
        <f>J1021+25</f>
        <v>425</v>
      </c>
      <c r="S1021" s="48">
        <f>G1021</f>
        <v>675</v>
      </c>
      <c r="T1021" s="48">
        <f>H1021+25</f>
        <v>425</v>
      </c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9"/>
      <c r="AJ1021" s="49"/>
      <c r="AK1021" s="49"/>
      <c r="AL1021" s="49"/>
      <c r="AM1021" s="49"/>
      <c r="AN1021" s="49"/>
      <c r="AO1021" s="49"/>
      <c r="AP1021" s="49"/>
      <c r="AQ1021" s="49"/>
      <c r="AR1021" s="49"/>
      <c r="AS1021" s="49"/>
      <c r="AT1021" s="49"/>
      <c r="AU1021" s="49"/>
      <c r="AV1021" s="49"/>
    </row>
    <row r="1024" spans="1:48">
      <c r="A1024" s="1"/>
    </row>
    <row r="1025" spans="1:58">
      <c r="A1025" s="48" t="s">
        <v>383</v>
      </c>
      <c r="B1025" s="1" t="s">
        <v>100</v>
      </c>
      <c r="D1025" t="s">
        <v>449</v>
      </c>
      <c r="E1025">
        <v>52695</v>
      </c>
      <c r="F1025" s="6">
        <v>39622</v>
      </c>
      <c r="G1025" s="6">
        <v>0</v>
      </c>
      <c r="H1025" s="6">
        <v>0</v>
      </c>
      <c r="I1025" s="6">
        <v>0</v>
      </c>
      <c r="J1025" s="6">
        <v>11500</v>
      </c>
      <c r="K1025" s="6">
        <v>3650</v>
      </c>
      <c r="L1025" s="6">
        <v>1920</v>
      </c>
      <c r="M1025" s="6">
        <v>0</v>
      </c>
      <c r="N1025" s="6">
        <v>0</v>
      </c>
      <c r="O1025" s="6" t="e">
        <f ca="1">checksummeint(G1025,H1025,I1025,J1025,K1025,L1025,M1025,N1025)</f>
        <v>#NAME?</v>
      </c>
    </row>
    <row r="1026" spans="1:58">
      <c r="B1026" s="1" t="s">
        <v>108</v>
      </c>
      <c r="D1026">
        <v>28</v>
      </c>
      <c r="E1026" t="s">
        <v>12</v>
      </c>
      <c r="F1026" s="6">
        <v>360</v>
      </c>
      <c r="G1026" s="6">
        <v>0</v>
      </c>
      <c r="H1026" s="6">
        <v>0</v>
      </c>
      <c r="I1026" s="6">
        <v>0</v>
      </c>
      <c r="J1026" s="6">
        <v>400</v>
      </c>
      <c r="K1026" s="6">
        <v>0</v>
      </c>
      <c r="L1026" s="6">
        <v>0</v>
      </c>
      <c r="M1026" s="6">
        <v>0</v>
      </c>
      <c r="N1026" s="6">
        <v>0</v>
      </c>
      <c r="O1026" s="6" t="s">
        <v>19</v>
      </c>
    </row>
    <row r="1027" spans="1:58">
      <c r="D1027">
        <v>4</v>
      </c>
      <c r="E1027" t="s">
        <v>15</v>
      </c>
      <c r="F1027" s="6">
        <v>0</v>
      </c>
    </row>
    <row r="1028" spans="1:58">
      <c r="D1028">
        <v>5</v>
      </c>
      <c r="E1028" t="s">
        <v>59</v>
      </c>
      <c r="F1028" s="6">
        <v>1</v>
      </c>
      <c r="G1028" s="6">
        <v>0</v>
      </c>
      <c r="M1028" s="44"/>
      <c r="N1028" s="45"/>
      <c r="O1028" s="46"/>
    </row>
    <row r="1029" spans="1:58">
      <c r="D1029">
        <v>8</v>
      </c>
      <c r="E1029" t="s">
        <v>14</v>
      </c>
      <c r="F1029" s="6">
        <v>0</v>
      </c>
      <c r="G1029" s="6">
        <v>16</v>
      </c>
      <c r="H1029" s="6">
        <v>0</v>
      </c>
      <c r="I1029" s="6">
        <v>0</v>
      </c>
      <c r="J1029" s="6">
        <v>0</v>
      </c>
    </row>
    <row r="1030" spans="1:58">
      <c r="D1030">
        <v>4</v>
      </c>
      <c r="E1030" t="s">
        <v>15</v>
      </c>
      <c r="F1030" s="6">
        <v>1</v>
      </c>
    </row>
    <row r="1031" spans="1:58">
      <c r="D1031">
        <v>7</v>
      </c>
      <c r="E1031" t="s">
        <v>11</v>
      </c>
      <c r="F1031" s="6">
        <v>0</v>
      </c>
      <c r="G1031" s="6">
        <f>255*256+192</f>
        <v>65472</v>
      </c>
      <c r="H1031" s="6">
        <v>192</v>
      </c>
      <c r="I1031" s="6">
        <v>0</v>
      </c>
    </row>
    <row r="1032" spans="1:58">
      <c r="D1032">
        <v>4</v>
      </c>
      <c r="E1032" t="s">
        <v>15</v>
      </c>
      <c r="F1032" s="6">
        <v>2</v>
      </c>
    </row>
    <row r="1033" spans="1:58">
      <c r="D1033">
        <f>F1033*2+4</f>
        <v>56</v>
      </c>
      <c r="E1033" t="s">
        <v>4</v>
      </c>
      <c r="F1033" s="6">
        <v>26</v>
      </c>
      <c r="G1033" s="6">
        <v>500</v>
      </c>
      <c r="H1033" s="6">
        <v>2667</v>
      </c>
      <c r="I1033" s="6">
        <v>833</v>
      </c>
      <c r="J1033" s="6">
        <v>2411</v>
      </c>
      <c r="K1033" s="6">
        <v>1166</v>
      </c>
      <c r="L1033" s="6">
        <v>2196</v>
      </c>
      <c r="M1033" s="6">
        <v>1500</v>
      </c>
      <c r="N1033" s="6">
        <v>2014</v>
      </c>
      <c r="O1033" s="6">
        <v>1833</v>
      </c>
      <c r="P1033">
        <v>1857</v>
      </c>
      <c r="Q1033">
        <v>2166</v>
      </c>
      <c r="R1033">
        <v>1720</v>
      </c>
      <c r="S1033">
        <v>2500</v>
      </c>
      <c r="T1033">
        <v>1601</v>
      </c>
      <c r="U1033">
        <v>2833</v>
      </c>
      <c r="V1033">
        <v>1495</v>
      </c>
      <c r="W1033">
        <v>3166</v>
      </c>
      <c r="X1033">
        <v>1400</v>
      </c>
      <c r="Y1033">
        <v>3500</v>
      </c>
      <c r="Z1033">
        <v>1316</v>
      </c>
      <c r="AA1033">
        <v>3833</v>
      </c>
      <c r="AB1033">
        <v>1239</v>
      </c>
      <c r="AC1033">
        <v>4166</v>
      </c>
      <c r="AD1033">
        <v>1170</v>
      </c>
      <c r="AE1033">
        <v>4500</v>
      </c>
      <c r="AF1033">
        <v>1107</v>
      </c>
      <c r="AG1033">
        <v>4833</v>
      </c>
      <c r="AH1033">
        <v>1050</v>
      </c>
      <c r="AI1033">
        <v>5166</v>
      </c>
      <c r="AJ1033">
        <v>997</v>
      </c>
      <c r="AK1033">
        <v>5500</v>
      </c>
      <c r="AL1033">
        <v>949</v>
      </c>
      <c r="AM1033">
        <v>5833</v>
      </c>
      <c r="AN1033">
        <v>904</v>
      </c>
      <c r="AO1033">
        <v>6166</v>
      </c>
      <c r="AP1033">
        <v>862</v>
      </c>
      <c r="AQ1033">
        <v>6500</v>
      </c>
      <c r="AR1033">
        <v>823</v>
      </c>
      <c r="AS1033">
        <v>6833</v>
      </c>
      <c r="AT1033">
        <v>787</v>
      </c>
      <c r="AU1033">
        <v>7166</v>
      </c>
      <c r="AV1033">
        <v>754</v>
      </c>
      <c r="AW1033">
        <v>7500</v>
      </c>
      <c r="AX1033">
        <v>722</v>
      </c>
      <c r="AY1033">
        <v>7833</v>
      </c>
      <c r="AZ1033">
        <v>700</v>
      </c>
      <c r="BA1033">
        <v>10500</v>
      </c>
      <c r="BB1033">
        <v>700</v>
      </c>
      <c r="BC1033">
        <v>10500</v>
      </c>
      <c r="BD1033">
        <v>2700</v>
      </c>
      <c r="BE1033">
        <v>500</v>
      </c>
      <c r="BF1033">
        <v>2700</v>
      </c>
    </row>
    <row r="1034" spans="1:58">
      <c r="D1034">
        <v>7</v>
      </c>
      <c r="E1034" t="s">
        <v>11</v>
      </c>
      <c r="F1034" s="6">
        <v>0</v>
      </c>
      <c r="G1034" s="6">
        <v>0</v>
      </c>
      <c r="H1034" s="6">
        <v>0</v>
      </c>
      <c r="I1034" s="6">
        <v>0</v>
      </c>
    </row>
    <row r="1035" spans="1:58">
      <c r="D1035">
        <v>4</v>
      </c>
      <c r="E1035" t="s">
        <v>15</v>
      </c>
      <c r="F1035" s="6">
        <v>3</v>
      </c>
    </row>
    <row r="1036" spans="1:58">
      <c r="D1036">
        <v>4</v>
      </c>
      <c r="E1036" t="s">
        <v>15</v>
      </c>
      <c r="F1036" s="6">
        <v>1</v>
      </c>
      <c r="G1036" s="24"/>
    </row>
    <row r="1037" spans="1:58" s="48" customFormat="1">
      <c r="D1037" s="49">
        <v>18</v>
      </c>
      <c r="E1037" s="49" t="s">
        <v>111</v>
      </c>
      <c r="F1037" s="49">
        <v>200</v>
      </c>
      <c r="G1037" s="49">
        <f>B1042-F1037/2</f>
        <v>400</v>
      </c>
      <c r="H1037" s="49">
        <f>B1043</f>
        <v>2700</v>
      </c>
      <c r="I1037" s="49">
        <f>C1042+2*F1037</f>
        <v>10900</v>
      </c>
      <c r="J1037" s="49">
        <f>H1037</f>
        <v>2700</v>
      </c>
      <c r="K1037" s="6"/>
      <c r="L1037" s="6"/>
      <c r="M1037" s="6"/>
      <c r="N1037" s="6"/>
      <c r="O1037" s="6"/>
    </row>
    <row r="1038" spans="1:58" s="48" customFormat="1">
      <c r="D1038" s="49">
        <v>18</v>
      </c>
      <c r="E1038" s="49" t="s">
        <v>111</v>
      </c>
      <c r="F1038" s="49">
        <v>200</v>
      </c>
      <c r="G1038" s="6">
        <f>B1042</f>
        <v>500</v>
      </c>
      <c r="H1038" s="6">
        <f>B1043+F1038/2</f>
        <v>2800</v>
      </c>
      <c r="I1038" s="49">
        <f>G1038</f>
        <v>500</v>
      </c>
      <c r="J1038" s="49">
        <f>C1043-2*F1038</f>
        <v>300</v>
      </c>
      <c r="K1038" s="6"/>
      <c r="L1038" s="6"/>
      <c r="M1038" s="6"/>
      <c r="N1038" s="6"/>
      <c r="O1038" s="6"/>
    </row>
    <row r="1039" spans="1:58">
      <c r="D1039">
        <f>ROUNDUP(6+F1039/2,0)</f>
        <v>29</v>
      </c>
      <c r="E1039" t="s">
        <v>6</v>
      </c>
      <c r="F1039" s="6">
        <f>LEN(G1039)</f>
        <v>45</v>
      </c>
      <c r="G1039" s="31" t="s">
        <v>109</v>
      </c>
      <c r="H1039" s="6">
        <f>C1043-650</f>
        <v>50</v>
      </c>
      <c r="I1039" s="6">
        <f>B1042+150</f>
        <v>650</v>
      </c>
    </row>
    <row r="1040" spans="1:58">
      <c r="A1040" t="s">
        <v>45</v>
      </c>
      <c r="D1040">
        <f>ROUNDUP(6+F1040/2,0)</f>
        <v>7</v>
      </c>
      <c r="E1040" t="s">
        <v>6</v>
      </c>
      <c r="F1040" s="6">
        <f>LEN(G1040)</f>
        <v>2</v>
      </c>
      <c r="G1040" s="6" t="s">
        <v>24</v>
      </c>
      <c r="H1040" s="6">
        <f>B1043-200</f>
        <v>2500</v>
      </c>
      <c r="I1040" s="6">
        <f>C1042+450</f>
        <v>10950</v>
      </c>
    </row>
    <row r="1041" spans="1:14">
      <c r="B1041" t="s">
        <v>40</v>
      </c>
      <c r="C1041" t="s">
        <v>41</v>
      </c>
      <c r="D1041">
        <f>ROUNDUP(6+F1041/2,0)</f>
        <v>32</v>
      </c>
      <c r="E1041" t="s">
        <v>6</v>
      </c>
      <c r="F1041" s="6">
        <f>LEN(G1041)</f>
        <v>51</v>
      </c>
      <c r="G1041" s="31" t="s">
        <v>110</v>
      </c>
      <c r="H1041" s="6">
        <f>H1039+400</f>
        <v>450</v>
      </c>
      <c r="I1041" s="6">
        <f>I1039</f>
        <v>650</v>
      </c>
    </row>
    <row r="1042" spans="1:14">
      <c r="A1042" t="s">
        <v>2</v>
      </c>
      <c r="B1042">
        <v>500</v>
      </c>
      <c r="C1042">
        <v>10500</v>
      </c>
      <c r="D1042">
        <v>8</v>
      </c>
      <c r="E1042" t="s">
        <v>1</v>
      </c>
      <c r="F1042" s="6">
        <v>2</v>
      </c>
      <c r="G1042" s="6">
        <f>B1042-100</f>
        <v>400</v>
      </c>
      <c r="H1042" s="6">
        <f>C1043</f>
        <v>700</v>
      </c>
      <c r="I1042" s="6">
        <f>B1042+100</f>
        <v>600</v>
      </c>
      <c r="J1042" s="6">
        <f t="shared" ref="J1042:J1047" si="78">H1042</f>
        <v>700</v>
      </c>
    </row>
    <row r="1043" spans="1:14">
      <c r="A1043" t="s">
        <v>3</v>
      </c>
      <c r="B1043">
        <v>2700</v>
      </c>
      <c r="C1043">
        <f>B1043-2000</f>
        <v>700</v>
      </c>
      <c r="D1043">
        <v>8</v>
      </c>
      <c r="E1043" t="s">
        <v>1</v>
      </c>
      <c r="F1043" s="6">
        <v>2</v>
      </c>
      <c r="G1043" s="24">
        <f>G1042</f>
        <v>400</v>
      </c>
      <c r="H1043" s="6">
        <f>H1042+333</f>
        <v>1033</v>
      </c>
      <c r="I1043" s="6">
        <f>I1042</f>
        <v>600</v>
      </c>
      <c r="J1043" s="6">
        <f t="shared" si="78"/>
        <v>1033</v>
      </c>
    </row>
    <row r="1044" spans="1:14">
      <c r="D1044">
        <v>8</v>
      </c>
      <c r="E1044" t="s">
        <v>1</v>
      </c>
      <c r="F1044" s="6">
        <v>2</v>
      </c>
      <c r="G1044" s="24">
        <f>G1043</f>
        <v>400</v>
      </c>
      <c r="H1044" s="6">
        <f>H1043+333</f>
        <v>1366</v>
      </c>
      <c r="I1044" s="6">
        <f>I1043</f>
        <v>600</v>
      </c>
      <c r="J1044" s="6">
        <f t="shared" si="78"/>
        <v>1366</v>
      </c>
    </row>
    <row r="1045" spans="1:14">
      <c r="D1045">
        <v>8</v>
      </c>
      <c r="E1045" t="s">
        <v>1</v>
      </c>
      <c r="F1045" s="6">
        <v>2</v>
      </c>
      <c r="G1045" s="24">
        <f>G1044</f>
        <v>400</v>
      </c>
      <c r="H1045" s="6">
        <f>H1044+333</f>
        <v>1699</v>
      </c>
      <c r="I1045" s="6">
        <f>I1044</f>
        <v>600</v>
      </c>
      <c r="J1045" s="6">
        <f t="shared" si="78"/>
        <v>1699</v>
      </c>
    </row>
    <row r="1046" spans="1:14">
      <c r="D1046">
        <v>8</v>
      </c>
      <c r="E1046" t="s">
        <v>1</v>
      </c>
      <c r="F1046" s="6">
        <v>2</v>
      </c>
      <c r="G1046" s="24">
        <f>G1045</f>
        <v>400</v>
      </c>
      <c r="H1046" s="6">
        <f>H1045+333</f>
        <v>2032</v>
      </c>
      <c r="I1046" s="6">
        <f>I1045</f>
        <v>600</v>
      </c>
      <c r="J1046" s="6">
        <f t="shared" si="78"/>
        <v>2032</v>
      </c>
    </row>
    <row r="1047" spans="1:14">
      <c r="D1047">
        <v>8</v>
      </c>
      <c r="E1047" t="s">
        <v>1</v>
      </c>
      <c r="F1047" s="6">
        <v>2</v>
      </c>
      <c r="G1047" s="24">
        <f>G1046</f>
        <v>400</v>
      </c>
      <c r="H1047" s="6">
        <f>H1046+333</f>
        <v>2365</v>
      </c>
      <c r="I1047" s="6">
        <f>I1046</f>
        <v>600</v>
      </c>
      <c r="J1047" s="6">
        <f t="shared" si="78"/>
        <v>2365</v>
      </c>
    </row>
    <row r="1048" spans="1:14">
      <c r="D1048">
        <v>8</v>
      </c>
      <c r="E1048" t="s">
        <v>1</v>
      </c>
      <c r="F1048" s="6">
        <v>2</v>
      </c>
      <c r="G1048" s="6">
        <f>C1042</f>
        <v>10500</v>
      </c>
      <c r="H1048" s="6">
        <f>B1043-100</f>
        <v>2600</v>
      </c>
      <c r="I1048" s="6">
        <f t="shared" ref="I1048:I1054" si="79">G1048</f>
        <v>10500</v>
      </c>
      <c r="J1048" s="6">
        <f>B1043+100</f>
        <v>2800</v>
      </c>
    </row>
    <row r="1049" spans="1:14">
      <c r="D1049">
        <v>8</v>
      </c>
      <c r="E1049" t="s">
        <v>1</v>
      </c>
      <c r="F1049" s="6">
        <v>2</v>
      </c>
      <c r="G1049" s="6">
        <v>7800</v>
      </c>
      <c r="H1049" s="6">
        <v>700</v>
      </c>
      <c r="I1049" s="6">
        <f t="shared" si="79"/>
        <v>7800</v>
      </c>
      <c r="J1049" s="6">
        <f>J1048</f>
        <v>2800</v>
      </c>
    </row>
    <row r="1050" spans="1:14">
      <c r="D1050">
        <v>8</v>
      </c>
      <c r="E1050" t="s">
        <v>1</v>
      </c>
      <c r="F1050" s="6">
        <v>2</v>
      </c>
      <c r="G1050" s="6">
        <f>G1048-1666</f>
        <v>8834</v>
      </c>
      <c r="H1050" s="6">
        <f>H1048</f>
        <v>2600</v>
      </c>
      <c r="I1050" s="6">
        <f t="shared" si="79"/>
        <v>8834</v>
      </c>
      <c r="J1050" s="6">
        <f>J1048</f>
        <v>2800</v>
      </c>
    </row>
    <row r="1051" spans="1:14">
      <c r="D1051">
        <v>8</v>
      </c>
      <c r="E1051" t="s">
        <v>1</v>
      </c>
      <c r="F1051" s="6">
        <v>2</v>
      </c>
      <c r="G1051" s="6">
        <f>G1050-1666</f>
        <v>7168</v>
      </c>
      <c r="H1051" s="6">
        <f>H1050</f>
        <v>2600</v>
      </c>
      <c r="I1051" s="6">
        <f t="shared" si="79"/>
        <v>7168</v>
      </c>
      <c r="J1051" s="6">
        <f>J1050</f>
        <v>2800</v>
      </c>
    </row>
    <row r="1052" spans="1:14">
      <c r="D1052">
        <v>8</v>
      </c>
      <c r="E1052" t="s">
        <v>1</v>
      </c>
      <c r="F1052" s="6">
        <v>2</v>
      </c>
      <c r="G1052" s="6">
        <f>G1051-1666</f>
        <v>5502</v>
      </c>
      <c r="H1052" s="6">
        <f>H1051</f>
        <v>2600</v>
      </c>
      <c r="I1052" s="6">
        <f t="shared" si="79"/>
        <v>5502</v>
      </c>
      <c r="J1052" s="6">
        <f>J1051</f>
        <v>2800</v>
      </c>
    </row>
    <row r="1053" spans="1:14">
      <c r="D1053">
        <v>8</v>
      </c>
      <c r="E1053" t="s">
        <v>1</v>
      </c>
      <c r="F1053" s="6">
        <v>2</v>
      </c>
      <c r="G1053" s="6">
        <f>G1052-1666</f>
        <v>3836</v>
      </c>
      <c r="H1053" s="6">
        <f>H1052</f>
        <v>2600</v>
      </c>
      <c r="I1053" s="6">
        <f t="shared" si="79"/>
        <v>3836</v>
      </c>
      <c r="J1053" s="6">
        <f>J1052</f>
        <v>2800</v>
      </c>
    </row>
    <row r="1054" spans="1:14">
      <c r="D1054">
        <v>8</v>
      </c>
      <c r="E1054" t="s">
        <v>1</v>
      </c>
      <c r="F1054" s="6">
        <v>2</v>
      </c>
      <c r="G1054" s="6">
        <f>G1053-1666</f>
        <v>2170</v>
      </c>
      <c r="H1054" s="6">
        <f>H1053</f>
        <v>2600</v>
      </c>
      <c r="I1054" s="6">
        <f t="shared" si="79"/>
        <v>2170</v>
      </c>
      <c r="J1054" s="6">
        <f>J1053</f>
        <v>2800</v>
      </c>
    </row>
    <row r="1055" spans="1:14">
      <c r="E1055" t="s">
        <v>517</v>
      </c>
      <c r="F1055" s="6" t="s">
        <v>558</v>
      </c>
      <c r="G1055" s="6">
        <f>B1042-500</f>
        <v>0</v>
      </c>
      <c r="H1055" s="6">
        <f>H1042-150</f>
        <v>550</v>
      </c>
      <c r="I1055" s="6">
        <f>H1043-150</f>
        <v>883</v>
      </c>
      <c r="J1055" s="6">
        <f>H1044-150</f>
        <v>1216</v>
      </c>
      <c r="K1055" s="6">
        <f>H1045-150</f>
        <v>1549</v>
      </c>
      <c r="L1055" s="6">
        <f>H1046-150</f>
        <v>1882</v>
      </c>
      <c r="M1055" s="6">
        <f>H1047-150</f>
        <v>2215</v>
      </c>
    </row>
    <row r="1056" spans="1:14">
      <c r="E1056" t="s">
        <v>515</v>
      </c>
      <c r="F1056" s="6" t="s">
        <v>559</v>
      </c>
      <c r="G1056" s="6">
        <f>G1048-200</f>
        <v>10300</v>
      </c>
      <c r="H1056" s="6">
        <f>B1043+100</f>
        <v>2800</v>
      </c>
      <c r="I1056" s="6">
        <f>G1050-200</f>
        <v>8634</v>
      </c>
      <c r="J1056" s="6">
        <f>G1049-200</f>
        <v>7600</v>
      </c>
      <c r="K1056" s="6">
        <f>G1051-200</f>
        <v>6968</v>
      </c>
      <c r="L1056" s="6">
        <f>G1052-200</f>
        <v>5302</v>
      </c>
      <c r="M1056" s="6">
        <f>G1053-200</f>
        <v>3636</v>
      </c>
      <c r="N1056" s="6">
        <f>G1054-200</f>
        <v>1970</v>
      </c>
    </row>
    <row r="1057" spans="1:21">
      <c r="D1057">
        <v>64</v>
      </c>
      <c r="E1057" t="s">
        <v>114</v>
      </c>
      <c r="F1057" s="6">
        <v>200</v>
      </c>
      <c r="G1057" s="24">
        <v>400</v>
      </c>
      <c r="H1057" s="24">
        <v>3450</v>
      </c>
      <c r="I1057" s="24">
        <v>10500</v>
      </c>
      <c r="J1057" s="24">
        <f>H1057</f>
        <v>3450</v>
      </c>
      <c r="K1057" s="24">
        <v>7800</v>
      </c>
      <c r="L1057" s="24">
        <f>J1057</f>
        <v>3450</v>
      </c>
      <c r="M1057" s="6" t="s">
        <v>119</v>
      </c>
      <c r="N1057" s="6" t="s">
        <v>118</v>
      </c>
    </row>
    <row r="1061" spans="1:21">
      <c r="A1061" s="48" t="s">
        <v>383</v>
      </c>
      <c r="B1061" s="1" t="s">
        <v>126</v>
      </c>
      <c r="C1061" s="48"/>
      <c r="D1061" s="48" t="s">
        <v>449</v>
      </c>
      <c r="E1061" s="48">
        <v>52695</v>
      </c>
      <c r="F1061" s="6">
        <v>39622</v>
      </c>
      <c r="G1061" s="6">
        <v>0</v>
      </c>
      <c r="H1061" s="6">
        <v>0</v>
      </c>
      <c r="I1061" s="6">
        <v>0</v>
      </c>
      <c r="J1061" s="6">
        <v>12600</v>
      </c>
      <c r="K1061" s="6">
        <v>8000</v>
      </c>
      <c r="L1061" s="6">
        <v>1920</v>
      </c>
      <c r="M1061" s="6">
        <v>0</v>
      </c>
      <c r="N1061" s="6">
        <v>0</v>
      </c>
      <c r="O1061" s="6" t="e">
        <f ca="1">checksummeint(G1061,H1061,I1061,J1061,K1061,L1061,M1061,N1061)</f>
        <v>#NAME?</v>
      </c>
      <c r="P1061" s="48"/>
      <c r="Q1061" s="48"/>
      <c r="R1061" s="48"/>
      <c r="S1061" s="48"/>
      <c r="T1061" s="48"/>
      <c r="U1061" s="48"/>
    </row>
    <row r="1062" spans="1:21">
      <c r="A1062" s="1" t="s">
        <v>108</v>
      </c>
      <c r="C1062" s="48"/>
      <c r="D1062" s="48">
        <v>28</v>
      </c>
      <c r="E1062" s="48" t="s">
        <v>12</v>
      </c>
      <c r="F1062" s="6">
        <v>360</v>
      </c>
      <c r="G1062" s="6">
        <v>0</v>
      </c>
      <c r="H1062" s="6">
        <v>0</v>
      </c>
      <c r="I1062" s="6">
        <v>0</v>
      </c>
      <c r="J1062" s="6">
        <v>400</v>
      </c>
      <c r="K1062" s="6">
        <v>0</v>
      </c>
      <c r="L1062" s="6">
        <v>0</v>
      </c>
      <c r="M1062" s="6">
        <v>0</v>
      </c>
      <c r="N1062" s="6">
        <v>0</v>
      </c>
      <c r="O1062" s="6" t="s">
        <v>19</v>
      </c>
      <c r="P1062" s="48"/>
      <c r="Q1062" s="48"/>
      <c r="R1062" s="48"/>
      <c r="S1062" s="48"/>
      <c r="T1062" s="48"/>
      <c r="U1062" s="48"/>
    </row>
    <row r="1063" spans="1:21">
      <c r="A1063" t="s">
        <v>127</v>
      </c>
      <c r="C1063" s="48"/>
      <c r="D1063" s="48">
        <v>5</v>
      </c>
      <c r="E1063" s="48" t="s">
        <v>59</v>
      </c>
      <c r="F1063" s="6">
        <v>1</v>
      </c>
      <c r="G1063" s="6">
        <v>0</v>
      </c>
      <c r="P1063" s="48"/>
      <c r="Q1063" s="48"/>
      <c r="R1063" s="48"/>
      <c r="S1063" s="48"/>
      <c r="T1063" s="48"/>
      <c r="U1063" s="48"/>
    </row>
    <row r="1064" spans="1:21">
      <c r="A1064" t="s">
        <v>128</v>
      </c>
      <c r="C1064" s="48"/>
      <c r="D1064" s="48">
        <v>8</v>
      </c>
      <c r="E1064" s="48" t="s">
        <v>14</v>
      </c>
      <c r="F1064" s="6">
        <v>0</v>
      </c>
      <c r="G1064" s="6">
        <v>16</v>
      </c>
      <c r="H1064" s="6">
        <v>0</v>
      </c>
      <c r="I1064" s="6">
        <v>0</v>
      </c>
      <c r="J1064" s="6">
        <v>0</v>
      </c>
      <c r="M1064" s="44"/>
      <c r="N1064" s="45"/>
      <c r="O1064" s="46"/>
      <c r="P1064" s="48"/>
      <c r="Q1064" s="48"/>
      <c r="R1064" s="48"/>
      <c r="S1064" s="48"/>
      <c r="T1064" s="48"/>
      <c r="U1064" s="48"/>
    </row>
    <row r="1065" spans="1:21">
      <c r="A1065" t="s">
        <v>129</v>
      </c>
      <c r="C1065" s="48"/>
      <c r="D1065" s="48">
        <v>7</v>
      </c>
      <c r="E1065" s="48" t="s">
        <v>11</v>
      </c>
      <c r="F1065" s="6">
        <v>0</v>
      </c>
      <c r="G1065" s="6">
        <v>-64</v>
      </c>
      <c r="H1065" s="6">
        <v>192</v>
      </c>
      <c r="I1065" s="6">
        <v>0</v>
      </c>
      <c r="P1065" s="48"/>
      <c r="Q1065" s="48"/>
      <c r="R1065" s="48"/>
      <c r="S1065" s="48"/>
      <c r="T1065" s="48"/>
      <c r="U1065" s="48"/>
    </row>
    <row r="1066" spans="1:21">
      <c r="C1066" s="48"/>
      <c r="D1066" s="48">
        <v>7</v>
      </c>
      <c r="E1066" s="48" t="s">
        <v>11</v>
      </c>
      <c r="F1066" s="6">
        <v>0</v>
      </c>
      <c r="G1066" s="6">
        <v>0</v>
      </c>
      <c r="H1066" s="6">
        <v>0</v>
      </c>
      <c r="I1066" s="6">
        <v>0</v>
      </c>
      <c r="P1066" s="48"/>
      <c r="Q1066" s="48"/>
      <c r="R1066" s="48"/>
      <c r="S1066" s="48"/>
      <c r="T1066" s="48"/>
      <c r="U1066" s="48"/>
    </row>
    <row r="1067" spans="1:21">
      <c r="C1067" s="48"/>
      <c r="D1067" s="48">
        <v>4</v>
      </c>
      <c r="E1067" s="48" t="s">
        <v>15</v>
      </c>
      <c r="F1067" s="6">
        <v>0</v>
      </c>
      <c r="G1067" s="50"/>
      <c r="P1067" s="48"/>
      <c r="Q1067" s="48"/>
      <c r="R1067" s="48"/>
      <c r="S1067" s="48"/>
      <c r="T1067" s="48"/>
      <c r="U1067" s="48"/>
    </row>
    <row r="1068" spans="1:21">
      <c r="C1068" s="48"/>
      <c r="D1068" s="48">
        <v>4</v>
      </c>
      <c r="E1068" s="48" t="s">
        <v>15</v>
      </c>
      <c r="F1068" s="6">
        <v>1</v>
      </c>
      <c r="P1068" s="48"/>
      <c r="Q1068" s="48"/>
      <c r="R1068" s="48"/>
      <c r="S1068" s="48"/>
      <c r="T1068" s="48"/>
      <c r="U1068" s="48"/>
    </row>
    <row r="1069" spans="1:21">
      <c r="C1069" s="48"/>
      <c r="D1069" s="48">
        <f>ROUNDUP(6+F1069/2,0)</f>
        <v>21</v>
      </c>
      <c r="E1069" s="48" t="s">
        <v>6</v>
      </c>
      <c r="F1069" s="6">
        <f>LEN(G1069)</f>
        <v>29</v>
      </c>
      <c r="G1069" s="50" t="s">
        <v>120</v>
      </c>
      <c r="H1069" s="6">
        <v>0</v>
      </c>
      <c r="I1069" s="6">
        <v>1000</v>
      </c>
      <c r="P1069" s="48"/>
      <c r="Q1069" s="48"/>
      <c r="R1069" s="48"/>
      <c r="S1069" s="48"/>
      <c r="T1069" s="48"/>
      <c r="U1069" s="48"/>
    </row>
    <row r="1070" spans="1:21">
      <c r="C1070" s="48"/>
      <c r="D1070" s="48">
        <f>ROUNDUP(6+F1070/2,0)</f>
        <v>20</v>
      </c>
      <c r="E1070" s="48" t="s">
        <v>6</v>
      </c>
      <c r="F1070" s="6">
        <f>LEN(G1070)</f>
        <v>28</v>
      </c>
      <c r="G1070" s="50" t="s">
        <v>121</v>
      </c>
      <c r="H1070" s="6">
        <v>0</v>
      </c>
      <c r="I1070" s="6">
        <f>I1069+6700</f>
        <v>7700</v>
      </c>
      <c r="P1070" s="48"/>
      <c r="Q1070" s="48"/>
      <c r="R1070" s="48"/>
      <c r="S1070" s="48"/>
      <c r="T1070" s="48"/>
      <c r="U1070" s="48"/>
    </row>
    <row r="1071" spans="1:21">
      <c r="C1071" s="48"/>
      <c r="D1071" s="48"/>
      <c r="E1071" s="48" t="s">
        <v>113</v>
      </c>
      <c r="F1071" s="6">
        <v>200</v>
      </c>
      <c r="G1071" s="50">
        <v>610</v>
      </c>
      <c r="H1071" s="50">
        <v>2400</v>
      </c>
      <c r="I1071" s="50">
        <f>G1071+2880</f>
        <v>3490</v>
      </c>
      <c r="J1071" s="50">
        <f>H1071-1500</f>
        <v>900</v>
      </c>
      <c r="K1071" s="50" t="s">
        <v>22</v>
      </c>
      <c r="L1071" s="50">
        <v>3</v>
      </c>
      <c r="M1071" s="49">
        <v>0</v>
      </c>
      <c r="N1071" s="49">
        <v>3</v>
      </c>
      <c r="O1071" s="50">
        <v>0</v>
      </c>
      <c r="P1071" s="50">
        <v>0</v>
      </c>
      <c r="Q1071" s="49">
        <v>3</v>
      </c>
      <c r="R1071" s="49">
        <v>0</v>
      </c>
      <c r="S1071" s="49">
        <v>0</v>
      </c>
      <c r="T1071" s="49">
        <v>2057</v>
      </c>
      <c r="U1071" s="48">
        <v>2880</v>
      </c>
    </row>
    <row r="1072" spans="1:21">
      <c r="C1072" s="48"/>
      <c r="D1072" s="48">
        <v>4</v>
      </c>
      <c r="E1072" s="48" t="s">
        <v>448</v>
      </c>
      <c r="F1072" s="6">
        <v>3</v>
      </c>
      <c r="G1072" s="50"/>
      <c r="K1072" s="50" t="s">
        <v>123</v>
      </c>
      <c r="L1072" s="6">
        <v>4</v>
      </c>
      <c r="M1072" s="49"/>
      <c r="N1072" s="48"/>
      <c r="P1072" s="49"/>
      <c r="Q1072" s="50">
        <v>2</v>
      </c>
      <c r="R1072" s="49"/>
      <c r="S1072" s="49">
        <v>0</v>
      </c>
      <c r="T1072" s="49">
        <v>800</v>
      </c>
      <c r="U1072" s="48">
        <v>800</v>
      </c>
    </row>
    <row r="1073" spans="1:21">
      <c r="C1073" s="48"/>
      <c r="D1073" s="48"/>
      <c r="E1073" s="48" t="s">
        <v>113</v>
      </c>
      <c r="F1073" s="6">
        <v>200</v>
      </c>
      <c r="G1073" s="50">
        <f>G1071</f>
        <v>610</v>
      </c>
      <c r="H1073" s="50">
        <f>H1071+2560</f>
        <v>4960</v>
      </c>
      <c r="I1073" s="50">
        <f>G1073+3840</f>
        <v>4450</v>
      </c>
      <c r="J1073" s="50">
        <f>H1073-1500</f>
        <v>3460</v>
      </c>
      <c r="K1073" s="50" t="s">
        <v>22</v>
      </c>
      <c r="L1073" s="50">
        <v>4</v>
      </c>
      <c r="M1073" s="49"/>
      <c r="N1073" s="49">
        <v>3</v>
      </c>
      <c r="O1073" s="50"/>
      <c r="P1073" s="49"/>
      <c r="Q1073" s="6">
        <v>3</v>
      </c>
      <c r="R1073" s="49"/>
      <c r="S1073" s="49">
        <v>0</v>
      </c>
      <c r="T1073" s="49">
        <v>2546</v>
      </c>
      <c r="U1073" s="48">
        <v>3840</v>
      </c>
    </row>
    <row r="1074" spans="1:21">
      <c r="C1074" s="48"/>
      <c r="D1074" s="48">
        <v>4</v>
      </c>
      <c r="E1074" s="48" t="s">
        <v>448</v>
      </c>
      <c r="F1074" s="6">
        <v>3</v>
      </c>
      <c r="G1074" s="50"/>
      <c r="K1074" s="50" t="s">
        <v>124</v>
      </c>
      <c r="L1074" s="50">
        <v>4</v>
      </c>
      <c r="M1074" s="49"/>
      <c r="N1074" s="48"/>
      <c r="P1074" s="49"/>
      <c r="Q1074" s="50">
        <v>2</v>
      </c>
      <c r="R1074" s="49"/>
      <c r="S1074" s="49">
        <v>0</v>
      </c>
      <c r="T1074" s="49">
        <v>800</v>
      </c>
      <c r="U1074" s="48">
        <v>800</v>
      </c>
    </row>
    <row r="1075" spans="1:21">
      <c r="C1075" s="48"/>
      <c r="D1075" s="48"/>
      <c r="E1075" s="48" t="s">
        <v>113</v>
      </c>
      <c r="F1075" s="6">
        <v>200</v>
      </c>
      <c r="G1075" s="50">
        <f>G1073</f>
        <v>610</v>
      </c>
      <c r="H1075" s="50">
        <f>H1073+2560</f>
        <v>7520</v>
      </c>
      <c r="I1075" s="50">
        <f>G1075+4800</f>
        <v>5410</v>
      </c>
      <c r="J1075" s="50">
        <f>H1075-1500</f>
        <v>6020</v>
      </c>
      <c r="K1075" s="50" t="s">
        <v>22</v>
      </c>
      <c r="L1075" s="50">
        <v>5</v>
      </c>
      <c r="M1075" s="49"/>
      <c r="N1075" s="49">
        <v>3</v>
      </c>
      <c r="O1075" s="50"/>
      <c r="P1075" s="49"/>
      <c r="Q1075" s="50">
        <v>3</v>
      </c>
      <c r="R1075" s="49"/>
      <c r="S1075" s="49">
        <v>0</v>
      </c>
      <c r="T1075" s="49">
        <v>3037</v>
      </c>
      <c r="U1075" s="48">
        <v>4800</v>
      </c>
    </row>
    <row r="1076" spans="1:21">
      <c r="C1076" s="48"/>
      <c r="D1076" s="48">
        <v>4</v>
      </c>
      <c r="E1076" s="48" t="s">
        <v>448</v>
      </c>
      <c r="F1076" s="6">
        <v>3</v>
      </c>
      <c r="G1076" s="50"/>
      <c r="K1076" s="50" t="s">
        <v>125</v>
      </c>
      <c r="L1076" s="50">
        <v>4</v>
      </c>
      <c r="M1076" s="49"/>
      <c r="N1076" s="48"/>
      <c r="P1076" s="49"/>
      <c r="Q1076" s="50">
        <v>2</v>
      </c>
      <c r="R1076" s="49"/>
      <c r="S1076" s="49">
        <v>0</v>
      </c>
      <c r="T1076" s="49">
        <v>800</v>
      </c>
      <c r="U1076" s="48">
        <v>800</v>
      </c>
    </row>
    <row r="1077" spans="1:21">
      <c r="C1077" s="48"/>
      <c r="D1077" s="48"/>
      <c r="E1077" s="48" t="s">
        <v>113</v>
      </c>
      <c r="F1077" s="6">
        <v>200</v>
      </c>
      <c r="G1077" s="50">
        <f>G1071+6400</f>
        <v>7010</v>
      </c>
      <c r="H1077" s="50">
        <f>H1071</f>
        <v>2400</v>
      </c>
      <c r="I1077" s="50">
        <f>G1077+4800</f>
        <v>11810</v>
      </c>
      <c r="J1077" s="50">
        <f>H1077-1500</f>
        <v>900</v>
      </c>
      <c r="K1077" s="50" t="s">
        <v>22</v>
      </c>
      <c r="L1077" s="50">
        <v>5</v>
      </c>
      <c r="M1077" s="49"/>
      <c r="N1077" s="49">
        <v>3</v>
      </c>
      <c r="O1077" s="50"/>
      <c r="P1077" s="49"/>
      <c r="Q1077" s="50">
        <v>3</v>
      </c>
      <c r="R1077" s="49"/>
      <c r="S1077" s="49">
        <v>0</v>
      </c>
      <c r="T1077" s="49">
        <v>3037</v>
      </c>
      <c r="U1077" s="48">
        <v>4800</v>
      </c>
    </row>
    <row r="1078" spans="1:21">
      <c r="C1078" s="48"/>
      <c r="D1078" s="48">
        <v>4</v>
      </c>
      <c r="E1078" s="48" t="s">
        <v>448</v>
      </c>
      <c r="F1078" s="6">
        <v>3</v>
      </c>
      <c r="G1078" s="50"/>
      <c r="K1078" s="50" t="s">
        <v>21</v>
      </c>
      <c r="L1078" s="50">
        <v>4</v>
      </c>
      <c r="M1078" s="49"/>
      <c r="N1078" s="48"/>
      <c r="P1078" s="49"/>
      <c r="Q1078" s="50">
        <v>2</v>
      </c>
      <c r="R1078" s="49"/>
      <c r="S1078" s="49">
        <v>0</v>
      </c>
      <c r="T1078" s="49">
        <v>800</v>
      </c>
      <c r="U1078" s="48">
        <v>800</v>
      </c>
    </row>
    <row r="1079" spans="1:21">
      <c r="A1079" s="1"/>
      <c r="C1079" s="48"/>
      <c r="D1079" s="48"/>
      <c r="E1079" s="48" t="s">
        <v>113</v>
      </c>
      <c r="F1079" s="6">
        <v>200</v>
      </c>
      <c r="G1079" s="50">
        <f>G1073+6400</f>
        <v>7010</v>
      </c>
      <c r="H1079" s="50">
        <f>H1073</f>
        <v>4960</v>
      </c>
      <c r="I1079" s="50">
        <f>G1079+4800</f>
        <v>11810</v>
      </c>
      <c r="J1079" s="50">
        <f>H1079-1500</f>
        <v>3460</v>
      </c>
      <c r="K1079" s="50" t="s">
        <v>22</v>
      </c>
      <c r="L1079" s="50">
        <v>5</v>
      </c>
      <c r="M1079" s="49"/>
      <c r="N1079" s="49">
        <v>3</v>
      </c>
      <c r="O1079" s="50"/>
      <c r="P1079" s="49"/>
      <c r="Q1079" s="50">
        <v>3</v>
      </c>
      <c r="R1079" s="49"/>
      <c r="S1079" s="49">
        <v>0</v>
      </c>
      <c r="T1079" s="49">
        <v>3037</v>
      </c>
      <c r="U1079" s="48">
        <v>4800</v>
      </c>
    </row>
    <row r="1080" spans="1:21">
      <c r="A1080" s="1"/>
      <c r="C1080" s="48"/>
      <c r="D1080" s="48">
        <v>4</v>
      </c>
      <c r="E1080" s="48" t="s">
        <v>448</v>
      </c>
      <c r="F1080" s="6">
        <v>3</v>
      </c>
      <c r="G1080" s="50"/>
      <c r="K1080" s="50" t="s">
        <v>21</v>
      </c>
      <c r="L1080" s="50">
        <v>4</v>
      </c>
      <c r="M1080" s="49"/>
      <c r="N1080" s="48"/>
      <c r="P1080" s="49"/>
      <c r="Q1080" s="50">
        <v>2</v>
      </c>
      <c r="R1080" s="49"/>
      <c r="S1080" s="49">
        <v>0</v>
      </c>
      <c r="T1080" s="49">
        <v>800</v>
      </c>
      <c r="U1080" s="48">
        <v>800</v>
      </c>
    </row>
    <row r="1081" spans="1:21">
      <c r="C1081" s="48"/>
      <c r="D1081" s="48"/>
      <c r="E1081" s="48" t="s">
        <v>113</v>
      </c>
      <c r="F1081" s="6">
        <v>200</v>
      </c>
      <c r="G1081" s="50">
        <f>G1075+6400</f>
        <v>7010</v>
      </c>
      <c r="H1081" s="50">
        <f>H1075</f>
        <v>7520</v>
      </c>
      <c r="I1081" s="50">
        <f>G1081+4800</f>
        <v>11810</v>
      </c>
      <c r="J1081" s="50">
        <f>H1081-1500</f>
        <v>6020</v>
      </c>
      <c r="K1081" s="50" t="s">
        <v>22</v>
      </c>
      <c r="L1081" s="50">
        <v>5</v>
      </c>
      <c r="M1081" s="49"/>
      <c r="N1081" s="49">
        <v>3</v>
      </c>
      <c r="O1081" s="50"/>
      <c r="P1081" s="49"/>
      <c r="Q1081" s="50">
        <v>3</v>
      </c>
      <c r="R1081" s="49"/>
      <c r="S1081" s="49">
        <v>0</v>
      </c>
      <c r="T1081" s="49">
        <v>3037</v>
      </c>
      <c r="U1081" s="48">
        <v>4800</v>
      </c>
    </row>
    <row r="1082" spans="1:21">
      <c r="C1082" s="48"/>
      <c r="D1082" s="48">
        <v>8</v>
      </c>
      <c r="E1082" s="48" t="s">
        <v>14</v>
      </c>
      <c r="F1082" s="6">
        <v>0</v>
      </c>
      <c r="G1082" s="6">
        <v>40</v>
      </c>
      <c r="H1082" s="6">
        <v>0</v>
      </c>
      <c r="I1082" s="6">
        <v>0</v>
      </c>
      <c r="J1082" s="6">
        <v>0</v>
      </c>
      <c r="K1082" s="50" t="s">
        <v>21</v>
      </c>
      <c r="L1082" s="50">
        <v>4</v>
      </c>
      <c r="P1082" s="48"/>
      <c r="Q1082" s="50">
        <v>2</v>
      </c>
      <c r="R1082" s="49"/>
      <c r="S1082" s="49">
        <v>0</v>
      </c>
      <c r="T1082" s="49">
        <v>800</v>
      </c>
      <c r="U1082" s="48">
        <v>800</v>
      </c>
    </row>
    <row r="1083" spans="1:21">
      <c r="C1083" s="48"/>
      <c r="D1083" s="48">
        <v>4</v>
      </c>
      <c r="E1083" s="48" t="s">
        <v>15</v>
      </c>
      <c r="F1083" s="6">
        <v>4</v>
      </c>
      <c r="P1083" s="48"/>
      <c r="Q1083" s="48"/>
      <c r="R1083" s="48"/>
      <c r="S1083" s="48"/>
      <c r="T1083" s="48"/>
      <c r="U1083" s="48"/>
    </row>
    <row r="1084" spans="1:21">
      <c r="C1084" s="48"/>
      <c r="D1084" s="48">
        <f>F1084*2+4</f>
        <v>8</v>
      </c>
      <c r="E1084" s="48" t="s">
        <v>1</v>
      </c>
      <c r="F1084" s="6">
        <v>2</v>
      </c>
      <c r="G1084" s="50">
        <v>100</v>
      </c>
      <c r="H1084" s="6">
        <v>350</v>
      </c>
      <c r="I1084" s="6">
        <v>12500</v>
      </c>
      <c r="J1084" s="6">
        <f>H1084</f>
        <v>350</v>
      </c>
      <c r="P1084" s="48"/>
      <c r="Q1084" s="48"/>
      <c r="R1084" s="48"/>
      <c r="S1084" s="48"/>
      <c r="T1084" s="48"/>
      <c r="U1084" s="48"/>
    </row>
    <row r="1085" spans="1:21">
      <c r="C1085" s="48"/>
      <c r="D1085" s="48">
        <f>F1085*2+4</f>
        <v>8</v>
      </c>
      <c r="E1085" s="48" t="s">
        <v>1</v>
      </c>
      <c r="F1085" s="6">
        <v>2</v>
      </c>
      <c r="G1085" s="50">
        <v>6200</v>
      </c>
      <c r="H1085" s="6">
        <v>100</v>
      </c>
      <c r="I1085" s="6">
        <f>G1085</f>
        <v>6200</v>
      </c>
      <c r="J1085" s="6">
        <v>8000</v>
      </c>
      <c r="P1085" s="48"/>
      <c r="Q1085" s="48"/>
      <c r="R1085" s="48"/>
      <c r="S1085" s="48"/>
      <c r="T1085" s="48"/>
      <c r="U1085" s="48"/>
    </row>
    <row r="1086" spans="1:21">
      <c r="C1086" s="48"/>
      <c r="D1086" s="48">
        <v>7</v>
      </c>
      <c r="E1086" s="48" t="s">
        <v>11</v>
      </c>
      <c r="F1086" s="6">
        <v>0</v>
      </c>
      <c r="G1086" s="6">
        <f>64*257</f>
        <v>16448</v>
      </c>
      <c r="H1086" s="6">
        <v>128</v>
      </c>
      <c r="I1086" s="6">
        <v>0</v>
      </c>
      <c r="P1086" s="48"/>
      <c r="Q1086" s="48"/>
      <c r="R1086" s="48"/>
      <c r="S1086" s="48"/>
      <c r="T1086" s="48"/>
      <c r="U1086" s="48"/>
    </row>
    <row r="1087" spans="1:21">
      <c r="C1087" s="48"/>
      <c r="D1087" s="48">
        <v>7</v>
      </c>
      <c r="E1087" s="48" t="s">
        <v>11</v>
      </c>
      <c r="F1087" s="6">
        <v>0</v>
      </c>
      <c r="G1087" s="6">
        <f>192*257</f>
        <v>49344</v>
      </c>
      <c r="H1087" s="6">
        <v>255</v>
      </c>
      <c r="I1087" s="6">
        <v>0</v>
      </c>
      <c r="P1087" s="48"/>
      <c r="Q1087" s="48"/>
      <c r="R1087" s="48"/>
      <c r="S1087" s="48"/>
      <c r="T1087" s="48"/>
      <c r="U1087" s="48"/>
    </row>
    <row r="1088" spans="1:21">
      <c r="C1088" s="48"/>
      <c r="D1088" s="48">
        <v>8</v>
      </c>
      <c r="E1088" s="48" t="s">
        <v>14</v>
      </c>
      <c r="F1088" s="6">
        <v>0</v>
      </c>
      <c r="G1088" s="6">
        <v>10</v>
      </c>
      <c r="H1088" s="6">
        <v>0</v>
      </c>
      <c r="I1088" s="6">
        <v>0</v>
      </c>
      <c r="J1088" s="6">
        <v>0</v>
      </c>
      <c r="P1088" s="48"/>
      <c r="Q1088" s="48"/>
      <c r="R1088" s="48"/>
      <c r="S1088" s="48"/>
      <c r="T1088" s="48"/>
      <c r="U1088" s="48"/>
    </row>
    <row r="1089" spans="3:21">
      <c r="C1089" s="48"/>
      <c r="D1089" s="48">
        <v>4</v>
      </c>
      <c r="E1089" s="48" t="s">
        <v>15</v>
      </c>
      <c r="F1089" s="6">
        <v>7</v>
      </c>
      <c r="G1089" s="50"/>
      <c r="P1089" s="48"/>
      <c r="Q1089" s="48"/>
      <c r="R1089" s="48"/>
      <c r="S1089" s="48"/>
      <c r="T1089" s="48"/>
      <c r="U1089" s="48"/>
    </row>
    <row r="1090" spans="3:21">
      <c r="C1090" s="48"/>
      <c r="D1090" s="48">
        <v>4</v>
      </c>
      <c r="E1090" s="48" t="s">
        <v>15</v>
      </c>
      <c r="F1090" s="6">
        <v>5</v>
      </c>
      <c r="G1090" s="50"/>
      <c r="P1090" s="48"/>
      <c r="Q1090" s="48"/>
      <c r="R1090" s="48"/>
      <c r="S1090" s="48"/>
      <c r="T1090" s="48"/>
      <c r="U1090" s="48"/>
    </row>
    <row r="1091" spans="3:21">
      <c r="C1091" s="48"/>
      <c r="D1091" s="48">
        <v>7</v>
      </c>
      <c r="E1091" s="48" t="s">
        <v>5</v>
      </c>
      <c r="F1091" s="6">
        <f>F1095-100</f>
        <v>7120</v>
      </c>
      <c r="G1091" s="50">
        <f>G1095-100</f>
        <v>3896</v>
      </c>
      <c r="H1091" s="6">
        <f>F1091-1000</f>
        <v>6120</v>
      </c>
      <c r="I1091" s="6">
        <f>G1091+1000</f>
        <v>4896</v>
      </c>
      <c r="P1091" s="48"/>
      <c r="Q1091" s="48"/>
      <c r="R1091" s="48"/>
      <c r="S1091" s="48"/>
      <c r="T1091" s="48"/>
      <c r="U1091" s="48"/>
    </row>
    <row r="1092" spans="3:21">
      <c r="C1092" s="48"/>
      <c r="D1092" s="48">
        <v>4</v>
      </c>
      <c r="E1092" s="48" t="s">
        <v>15</v>
      </c>
      <c r="F1092" s="6">
        <v>6</v>
      </c>
      <c r="P1092" s="48"/>
      <c r="Q1092" s="48"/>
      <c r="R1092" s="48"/>
      <c r="S1092" s="48"/>
      <c r="T1092" s="48"/>
      <c r="U1092" s="48"/>
    </row>
    <row r="1093" spans="3:21">
      <c r="C1093" s="48"/>
      <c r="D1093" s="48">
        <v>7</v>
      </c>
      <c r="E1093" s="48" t="s">
        <v>5</v>
      </c>
      <c r="F1093" s="6">
        <f>F1091-40</f>
        <v>7080</v>
      </c>
      <c r="G1093" s="6">
        <f>G1091+40</f>
        <v>3936</v>
      </c>
      <c r="H1093" s="6">
        <f>F1093-920</f>
        <v>6160</v>
      </c>
      <c r="I1093" s="6">
        <f>G1093+920</f>
        <v>4856</v>
      </c>
      <c r="P1093" s="48"/>
      <c r="Q1093" s="48"/>
      <c r="R1093" s="48"/>
      <c r="S1093" s="48"/>
      <c r="T1093" s="49"/>
      <c r="U1093" s="49"/>
    </row>
    <row r="1094" spans="3:21">
      <c r="C1094" s="48"/>
      <c r="D1094" s="48">
        <v>4</v>
      </c>
      <c r="E1094" s="48" t="s">
        <v>15</v>
      </c>
      <c r="F1094" s="6">
        <v>5</v>
      </c>
      <c r="G1094" s="50"/>
      <c r="P1094" s="48"/>
      <c r="Q1094" s="48"/>
      <c r="R1094" s="48"/>
      <c r="S1094" s="48"/>
      <c r="T1094" s="49"/>
      <c r="U1094" s="49"/>
    </row>
    <row r="1095" spans="3:21">
      <c r="C1095" s="48"/>
      <c r="D1095" s="48">
        <v>7</v>
      </c>
      <c r="E1095" s="48" t="s">
        <v>5</v>
      </c>
      <c r="F1095" s="6">
        <f>F1101-100</f>
        <v>7220</v>
      </c>
      <c r="G1095" s="50">
        <f>G1101-100</f>
        <v>3996</v>
      </c>
      <c r="H1095" s="6">
        <f>F1095-1000</f>
        <v>6220</v>
      </c>
      <c r="I1095" s="6">
        <f>G1095+1000</f>
        <v>4996</v>
      </c>
      <c r="P1095" s="48"/>
      <c r="Q1095" s="48"/>
      <c r="R1095" s="48"/>
      <c r="S1095" s="48"/>
      <c r="T1095" s="49"/>
      <c r="U1095" s="49"/>
    </row>
    <row r="1096" spans="3:21">
      <c r="C1096" s="48"/>
      <c r="D1096" s="48">
        <v>7</v>
      </c>
      <c r="E1096" s="48" t="s">
        <v>5</v>
      </c>
      <c r="F1096" s="6">
        <f>F1095-2560</f>
        <v>4660</v>
      </c>
      <c r="G1096" s="50">
        <f>G1095</f>
        <v>3996</v>
      </c>
      <c r="H1096" s="6">
        <f>H1095-2560</f>
        <v>3660</v>
      </c>
      <c r="I1096" s="6">
        <f>I1095</f>
        <v>4996</v>
      </c>
      <c r="P1096" s="48"/>
      <c r="Q1096" s="48"/>
      <c r="R1096" s="48"/>
      <c r="S1096" s="48"/>
      <c r="T1096" s="49"/>
      <c r="U1096" s="49"/>
    </row>
    <row r="1097" spans="3:21">
      <c r="C1097" s="48"/>
      <c r="D1097" s="48">
        <v>4</v>
      </c>
      <c r="E1097" s="48" t="s">
        <v>15</v>
      </c>
      <c r="F1097" s="6">
        <v>6</v>
      </c>
      <c r="P1097" s="48"/>
      <c r="Q1097" s="48"/>
      <c r="R1097" s="48"/>
      <c r="S1097" s="48"/>
      <c r="T1097" s="49"/>
      <c r="U1097" s="49"/>
    </row>
    <row r="1098" spans="3:21">
      <c r="C1098" s="48"/>
      <c r="D1098" s="48">
        <v>7</v>
      </c>
      <c r="E1098" s="48" t="s">
        <v>5</v>
      </c>
      <c r="F1098" s="6">
        <f>F1095-40</f>
        <v>7180</v>
      </c>
      <c r="G1098" s="6">
        <f>G1095+40</f>
        <v>4036</v>
      </c>
      <c r="H1098" s="6">
        <f>F1098-920</f>
        <v>6260</v>
      </c>
      <c r="I1098" s="6">
        <f>G1098+920</f>
        <v>4956</v>
      </c>
      <c r="P1098" s="48"/>
      <c r="Q1098" s="48"/>
      <c r="R1098" s="48"/>
      <c r="S1098" s="48"/>
      <c r="T1098" s="49"/>
      <c r="U1098" s="49"/>
    </row>
    <row r="1099" spans="3:21">
      <c r="C1099" s="48"/>
      <c r="D1099" s="48">
        <v>7</v>
      </c>
      <c r="E1099" s="48" t="s">
        <v>5</v>
      </c>
      <c r="F1099" s="6">
        <f>F1098-2560</f>
        <v>4620</v>
      </c>
      <c r="G1099" s="50">
        <f>G1098</f>
        <v>4036</v>
      </c>
      <c r="H1099" s="6">
        <f>H1098-2560</f>
        <v>3700</v>
      </c>
      <c r="I1099" s="6">
        <f>I1098</f>
        <v>4956</v>
      </c>
      <c r="P1099" s="48"/>
      <c r="Q1099" s="48"/>
      <c r="R1099" s="48"/>
      <c r="S1099" s="48"/>
      <c r="T1099" s="49"/>
      <c r="U1099" s="49"/>
    </row>
    <row r="1100" spans="3:21">
      <c r="C1100" s="48"/>
      <c r="D1100" s="48">
        <v>4</v>
      </c>
      <c r="E1100" s="48" t="s">
        <v>15</v>
      </c>
      <c r="F1100" s="6">
        <v>5</v>
      </c>
      <c r="G1100" s="50"/>
      <c r="P1100" s="48"/>
      <c r="Q1100" s="48"/>
      <c r="R1100" s="48"/>
      <c r="S1100" s="48"/>
      <c r="T1100" s="49"/>
      <c r="U1100" s="49"/>
    </row>
    <row r="1101" spans="3:21">
      <c r="C1101" s="48"/>
      <c r="D1101" s="48">
        <v>7</v>
      </c>
      <c r="E1101" s="48" t="s">
        <v>5</v>
      </c>
      <c r="F1101" s="6">
        <v>7320</v>
      </c>
      <c r="G1101" s="50">
        <v>4096</v>
      </c>
      <c r="H1101" s="6">
        <f>F1101-1000</f>
        <v>6320</v>
      </c>
      <c r="I1101" s="6">
        <f>G1101+1000</f>
        <v>5096</v>
      </c>
      <c r="P1101" s="48"/>
      <c r="Q1101" s="48"/>
      <c r="R1101" s="48"/>
      <c r="S1101" s="48"/>
      <c r="T1101" s="49"/>
      <c r="U1101" s="49"/>
    </row>
    <row r="1102" spans="3:21">
      <c r="C1102" s="48"/>
      <c r="D1102" s="48">
        <v>7</v>
      </c>
      <c r="E1102" s="48" t="s">
        <v>5</v>
      </c>
      <c r="F1102" s="6">
        <f>F1101-2560</f>
        <v>4760</v>
      </c>
      <c r="G1102" s="50">
        <f>G1101</f>
        <v>4096</v>
      </c>
      <c r="H1102" s="6">
        <f>H1101-2560</f>
        <v>3760</v>
      </c>
      <c r="I1102" s="6">
        <f>I1101</f>
        <v>5096</v>
      </c>
      <c r="P1102" s="48"/>
      <c r="Q1102" s="48"/>
      <c r="R1102" s="48"/>
      <c r="S1102" s="48"/>
      <c r="T1102" s="49"/>
      <c r="U1102" s="49"/>
    </row>
    <row r="1103" spans="3:21">
      <c r="C1103" s="48"/>
      <c r="D1103" s="48">
        <v>7</v>
      </c>
      <c r="E1103" s="48" t="s">
        <v>5</v>
      </c>
      <c r="F1103" s="6">
        <f>F1102-2560</f>
        <v>2200</v>
      </c>
      <c r="G1103" s="50">
        <f>G1102</f>
        <v>4096</v>
      </c>
      <c r="H1103" s="6">
        <f>H1102-2560</f>
        <v>1200</v>
      </c>
      <c r="I1103" s="6">
        <f>I1102</f>
        <v>5096</v>
      </c>
      <c r="P1103" s="48"/>
      <c r="Q1103" s="48"/>
      <c r="R1103" s="48"/>
      <c r="S1103" s="48"/>
      <c r="T1103" s="49"/>
      <c r="U1103" s="49"/>
    </row>
    <row r="1104" spans="3:21">
      <c r="C1104" s="48"/>
      <c r="D1104" s="48">
        <v>4</v>
      </c>
      <c r="E1104" s="48" t="s">
        <v>15</v>
      </c>
      <c r="F1104" s="6">
        <v>6</v>
      </c>
      <c r="P1104" s="48"/>
      <c r="Q1104" s="48"/>
      <c r="R1104" s="48"/>
      <c r="S1104" s="48"/>
      <c r="T1104" s="49"/>
      <c r="U1104" s="49"/>
    </row>
    <row r="1105" spans="3:21">
      <c r="C1105" s="48"/>
      <c r="D1105" s="48">
        <v>7</v>
      </c>
      <c r="E1105" s="48" t="s">
        <v>5</v>
      </c>
      <c r="F1105" s="6">
        <f>F1101-40</f>
        <v>7280</v>
      </c>
      <c r="G1105" s="6">
        <f>G1101+40</f>
        <v>4136</v>
      </c>
      <c r="H1105" s="6">
        <f>F1105-920</f>
        <v>6360</v>
      </c>
      <c r="I1105" s="6">
        <f>G1105+920</f>
        <v>5056</v>
      </c>
      <c r="P1105" s="48"/>
      <c r="Q1105" s="48"/>
      <c r="R1105" s="48"/>
      <c r="S1105" s="48"/>
      <c r="T1105" s="49"/>
      <c r="U1105" s="49"/>
    </row>
    <row r="1106" spans="3:21">
      <c r="C1106" s="48"/>
      <c r="D1106" s="48">
        <v>7</v>
      </c>
      <c r="E1106" s="48" t="s">
        <v>5</v>
      </c>
      <c r="F1106" s="6">
        <f>F1105-2560</f>
        <v>4720</v>
      </c>
      <c r="G1106" s="50">
        <f>G1105</f>
        <v>4136</v>
      </c>
      <c r="H1106" s="6">
        <f>H1105-2560</f>
        <v>3800</v>
      </c>
      <c r="I1106" s="6">
        <f>I1105</f>
        <v>5056</v>
      </c>
      <c r="P1106" s="48"/>
      <c r="Q1106" s="48"/>
      <c r="R1106" s="48"/>
      <c r="S1106" s="48"/>
      <c r="T1106" s="49"/>
      <c r="U1106" s="49"/>
    </row>
    <row r="1107" spans="3:21">
      <c r="C1107" s="48"/>
      <c r="D1107" s="48">
        <v>7</v>
      </c>
      <c r="E1107" s="48" t="s">
        <v>5</v>
      </c>
      <c r="F1107" s="6">
        <f>F1106-2560</f>
        <v>2160</v>
      </c>
      <c r="G1107" s="50">
        <f>G1106</f>
        <v>4136</v>
      </c>
      <c r="H1107" s="6">
        <f>H1106-2560</f>
        <v>1240</v>
      </c>
      <c r="I1107" s="6">
        <f>I1106</f>
        <v>5056</v>
      </c>
      <c r="P1107" s="48"/>
      <c r="Q1107" s="48"/>
      <c r="R1107" s="48"/>
      <c r="S1107" s="48"/>
      <c r="T1107" s="49"/>
      <c r="U1107" s="49"/>
    </row>
    <row r="1108" spans="3:21">
      <c r="C1108" s="48"/>
      <c r="D1108" s="48">
        <v>4</v>
      </c>
      <c r="E1108" s="48" t="s">
        <v>15</v>
      </c>
      <c r="F1108" s="6">
        <v>5</v>
      </c>
      <c r="G1108" s="50"/>
      <c r="P1108" s="48"/>
      <c r="Q1108" s="48"/>
      <c r="R1108" s="48"/>
      <c r="S1108" s="48"/>
      <c r="T1108" s="49"/>
      <c r="U1108" s="49"/>
    </row>
    <row r="1109" spans="3:21">
      <c r="C1109" s="48" t="s">
        <v>122</v>
      </c>
      <c r="D1109" s="48">
        <v>7</v>
      </c>
      <c r="E1109" s="48" t="s">
        <v>0</v>
      </c>
      <c r="F1109" s="6">
        <f>F1105-65</f>
        <v>7215</v>
      </c>
      <c r="G1109" s="50">
        <f>G1105+65</f>
        <v>4201</v>
      </c>
      <c r="H1109" s="6">
        <f>F1109-50</f>
        <v>7165</v>
      </c>
      <c r="I1109" s="6">
        <f>G1109+50</f>
        <v>4251</v>
      </c>
      <c r="P1109" s="48"/>
      <c r="Q1109" s="48"/>
      <c r="R1109" s="48"/>
      <c r="S1109" s="48"/>
      <c r="T1109" s="49"/>
      <c r="U1109" s="49"/>
    </row>
    <row r="1110" spans="3:21">
      <c r="C1110" s="48"/>
      <c r="D1110" s="48">
        <f>D1109</f>
        <v>7</v>
      </c>
      <c r="E1110" s="48" t="str">
        <f>E1109</f>
        <v>Ellipse</v>
      </c>
      <c r="F1110" s="6">
        <f>F1109</f>
        <v>7215</v>
      </c>
      <c r="G1110" s="6">
        <f>G1109+120</f>
        <v>4321</v>
      </c>
      <c r="H1110" s="6">
        <f t="shared" ref="H1110:H1132" si="80">F1110-50</f>
        <v>7165</v>
      </c>
      <c r="I1110" s="6">
        <f t="shared" ref="I1110:I1132" si="81">G1110+50</f>
        <v>4371</v>
      </c>
      <c r="P1110" s="48"/>
      <c r="Q1110" s="48"/>
      <c r="R1110" s="48"/>
      <c r="S1110" s="48"/>
      <c r="T1110" s="49"/>
      <c r="U1110" s="49"/>
    </row>
    <row r="1111" spans="3:21">
      <c r="C1111" s="48"/>
      <c r="D1111" s="48">
        <f t="shared" ref="D1111:F1126" si="82">D1110</f>
        <v>7</v>
      </c>
      <c r="E1111" s="48" t="str">
        <f t="shared" si="82"/>
        <v>Ellipse</v>
      </c>
      <c r="F1111" s="6">
        <f t="shared" si="82"/>
        <v>7215</v>
      </c>
      <c r="G1111" s="6">
        <f t="shared" ref="G1111:G1115" si="83">G1110+120</f>
        <v>4441</v>
      </c>
      <c r="H1111" s="6">
        <f t="shared" si="80"/>
        <v>7165</v>
      </c>
      <c r="I1111" s="6">
        <f t="shared" si="81"/>
        <v>4491</v>
      </c>
      <c r="P1111" s="48"/>
      <c r="Q1111" s="48"/>
      <c r="R1111" s="48"/>
      <c r="S1111" s="48"/>
      <c r="T1111" s="49"/>
      <c r="U1111" s="49"/>
    </row>
    <row r="1112" spans="3:21">
      <c r="C1112" s="48"/>
      <c r="D1112" s="48">
        <f t="shared" si="82"/>
        <v>7</v>
      </c>
      <c r="E1112" s="48" t="str">
        <f t="shared" si="82"/>
        <v>Ellipse</v>
      </c>
      <c r="F1112" s="6">
        <f t="shared" si="82"/>
        <v>7215</v>
      </c>
      <c r="G1112" s="6">
        <f t="shared" si="83"/>
        <v>4561</v>
      </c>
      <c r="H1112" s="6">
        <f t="shared" si="80"/>
        <v>7165</v>
      </c>
      <c r="I1112" s="6">
        <f t="shared" si="81"/>
        <v>4611</v>
      </c>
      <c r="P1112" s="48"/>
      <c r="Q1112" s="48"/>
      <c r="R1112" s="48"/>
      <c r="S1112" s="48"/>
      <c r="T1112" s="49"/>
      <c r="U1112" s="49"/>
    </row>
    <row r="1113" spans="3:21">
      <c r="C1113" s="48"/>
      <c r="D1113" s="48">
        <f t="shared" si="82"/>
        <v>7</v>
      </c>
      <c r="E1113" s="48" t="str">
        <f t="shared" si="82"/>
        <v>Ellipse</v>
      </c>
      <c r="F1113" s="6">
        <f t="shared" si="82"/>
        <v>7215</v>
      </c>
      <c r="G1113" s="6">
        <f t="shared" si="83"/>
        <v>4681</v>
      </c>
      <c r="H1113" s="6">
        <f t="shared" si="80"/>
        <v>7165</v>
      </c>
      <c r="I1113" s="6">
        <f t="shared" si="81"/>
        <v>4731</v>
      </c>
      <c r="P1113" s="48"/>
      <c r="Q1113" s="48"/>
      <c r="R1113" s="48"/>
      <c r="S1113" s="48"/>
      <c r="T1113" s="49"/>
      <c r="U1113" s="49"/>
    </row>
    <row r="1114" spans="3:21">
      <c r="C1114" s="48"/>
      <c r="D1114" s="48">
        <f t="shared" si="82"/>
        <v>7</v>
      </c>
      <c r="E1114" s="48" t="str">
        <f t="shared" si="82"/>
        <v>Ellipse</v>
      </c>
      <c r="F1114" s="6">
        <f t="shared" si="82"/>
        <v>7215</v>
      </c>
      <c r="G1114" s="6">
        <f t="shared" si="83"/>
        <v>4801</v>
      </c>
      <c r="H1114" s="6">
        <f t="shared" si="80"/>
        <v>7165</v>
      </c>
      <c r="I1114" s="6">
        <f t="shared" si="81"/>
        <v>4851</v>
      </c>
      <c r="P1114" s="48"/>
      <c r="Q1114" s="48"/>
      <c r="R1114" s="48"/>
      <c r="S1114" s="48"/>
      <c r="T1114" s="49"/>
      <c r="U1114" s="49"/>
    </row>
    <row r="1115" spans="3:21">
      <c r="C1115" s="48"/>
      <c r="D1115" s="48">
        <f t="shared" si="82"/>
        <v>7</v>
      </c>
      <c r="E1115" s="48" t="str">
        <f t="shared" si="82"/>
        <v>Ellipse</v>
      </c>
      <c r="F1115" s="6">
        <f t="shared" si="82"/>
        <v>7215</v>
      </c>
      <c r="G1115" s="6">
        <f t="shared" si="83"/>
        <v>4921</v>
      </c>
      <c r="H1115" s="6">
        <f t="shared" si="80"/>
        <v>7165</v>
      </c>
      <c r="I1115" s="6">
        <f t="shared" si="81"/>
        <v>4971</v>
      </c>
      <c r="L1115" s="31"/>
      <c r="P1115" s="48"/>
      <c r="Q1115" s="48"/>
      <c r="R1115" s="48"/>
      <c r="S1115" s="48"/>
      <c r="T1115" s="49"/>
      <c r="U1115" s="49"/>
    </row>
    <row r="1116" spans="3:21">
      <c r="C1116" s="48"/>
      <c r="D1116" s="48">
        <f>D1115</f>
        <v>7</v>
      </c>
      <c r="E1116" s="48" t="str">
        <f>E1115</f>
        <v>Ellipse</v>
      </c>
      <c r="F1116" s="6">
        <f>F1109-120</f>
        <v>7095</v>
      </c>
      <c r="G1116" s="6">
        <f>G1109</f>
        <v>4201</v>
      </c>
      <c r="H1116" s="6">
        <f t="shared" si="80"/>
        <v>7045</v>
      </c>
      <c r="I1116" s="6">
        <f t="shared" si="81"/>
        <v>4251</v>
      </c>
      <c r="P1116" s="48"/>
      <c r="Q1116" s="48"/>
      <c r="R1116" s="48"/>
      <c r="S1116" s="48"/>
      <c r="T1116" s="49"/>
      <c r="U1116" s="49"/>
    </row>
    <row r="1117" spans="3:21">
      <c r="C1117" s="48"/>
      <c r="D1117" s="48">
        <f t="shared" si="82"/>
        <v>7</v>
      </c>
      <c r="E1117" s="48" t="str">
        <f t="shared" si="82"/>
        <v>Ellipse</v>
      </c>
      <c r="F1117" s="6">
        <f t="shared" ref="F1117:F1121" si="84">F1116-120</f>
        <v>6975</v>
      </c>
      <c r="G1117" s="6">
        <f>G1116</f>
        <v>4201</v>
      </c>
      <c r="H1117" s="6">
        <f t="shared" si="80"/>
        <v>6925</v>
      </c>
      <c r="I1117" s="6">
        <f t="shared" si="81"/>
        <v>4251</v>
      </c>
      <c r="P1117" s="48"/>
      <c r="Q1117" s="48"/>
      <c r="R1117" s="48"/>
      <c r="S1117" s="48"/>
      <c r="T1117" s="49"/>
      <c r="U1117" s="49"/>
    </row>
    <row r="1118" spans="3:21">
      <c r="C1118" s="48"/>
      <c r="D1118" s="48">
        <f t="shared" si="82"/>
        <v>7</v>
      </c>
      <c r="E1118" s="48" t="str">
        <f t="shared" si="82"/>
        <v>Ellipse</v>
      </c>
      <c r="F1118" s="6">
        <f t="shared" si="84"/>
        <v>6855</v>
      </c>
      <c r="G1118" s="6">
        <f>G1117</f>
        <v>4201</v>
      </c>
      <c r="H1118" s="6">
        <f t="shared" si="80"/>
        <v>6805</v>
      </c>
      <c r="I1118" s="6">
        <f t="shared" si="81"/>
        <v>4251</v>
      </c>
      <c r="P1118" s="48"/>
      <c r="Q1118" s="48"/>
      <c r="R1118" s="48"/>
      <c r="S1118" s="48"/>
      <c r="T1118" s="49"/>
      <c r="U1118" s="49"/>
    </row>
    <row r="1119" spans="3:21">
      <c r="C1119" s="48"/>
      <c r="D1119" s="48">
        <f t="shared" si="82"/>
        <v>7</v>
      </c>
      <c r="E1119" s="48" t="str">
        <f t="shared" si="82"/>
        <v>Ellipse</v>
      </c>
      <c r="F1119" s="6">
        <f t="shared" si="84"/>
        <v>6735</v>
      </c>
      <c r="G1119" s="6">
        <f>G1118</f>
        <v>4201</v>
      </c>
      <c r="H1119" s="6">
        <f t="shared" si="80"/>
        <v>6685</v>
      </c>
      <c r="I1119" s="6">
        <f t="shared" si="81"/>
        <v>4251</v>
      </c>
      <c r="P1119" s="48"/>
      <c r="Q1119" s="48"/>
      <c r="R1119" s="48"/>
      <c r="S1119" s="48"/>
      <c r="T1119" s="49"/>
      <c r="U1119" s="49"/>
    </row>
    <row r="1120" spans="3:21">
      <c r="C1120" s="48"/>
      <c r="D1120" s="48">
        <f t="shared" si="82"/>
        <v>7</v>
      </c>
      <c r="E1120" s="48" t="str">
        <f t="shared" si="82"/>
        <v>Ellipse</v>
      </c>
      <c r="F1120" s="6">
        <f t="shared" si="84"/>
        <v>6615</v>
      </c>
      <c r="G1120" s="6">
        <f>G1119</f>
        <v>4201</v>
      </c>
      <c r="H1120" s="6">
        <f t="shared" si="80"/>
        <v>6565</v>
      </c>
      <c r="I1120" s="6">
        <f t="shared" si="81"/>
        <v>4251</v>
      </c>
      <c r="P1120" s="48"/>
      <c r="Q1120" s="48"/>
      <c r="R1120" s="48"/>
      <c r="S1120" s="48"/>
      <c r="T1120" s="49"/>
      <c r="U1120" s="49"/>
    </row>
    <row r="1121" spans="1:28">
      <c r="C1121" s="48"/>
      <c r="D1121" s="48">
        <f t="shared" si="82"/>
        <v>7</v>
      </c>
      <c r="E1121" s="48" t="str">
        <f t="shared" si="82"/>
        <v>Ellipse</v>
      </c>
      <c r="F1121" s="6">
        <f t="shared" si="84"/>
        <v>6495</v>
      </c>
      <c r="G1121" s="6">
        <f>G1120</f>
        <v>4201</v>
      </c>
      <c r="H1121" s="6">
        <f t="shared" si="80"/>
        <v>6445</v>
      </c>
      <c r="I1121" s="6">
        <f t="shared" si="81"/>
        <v>4251</v>
      </c>
      <c r="P1121" s="48"/>
      <c r="Q1121" s="48"/>
      <c r="R1121" s="48"/>
      <c r="S1121" s="48"/>
      <c r="T1121" s="49"/>
      <c r="U1121" s="49"/>
    </row>
    <row r="1122" spans="1:28">
      <c r="C1122" s="48"/>
      <c r="D1122" s="48">
        <f t="shared" si="82"/>
        <v>7</v>
      </c>
      <c r="E1122" s="48" t="str">
        <f t="shared" si="82"/>
        <v>Ellipse</v>
      </c>
      <c r="F1122" s="6">
        <f t="shared" si="82"/>
        <v>6495</v>
      </c>
      <c r="G1122" s="6">
        <f t="shared" ref="G1122:G1127" si="85">G1110</f>
        <v>4321</v>
      </c>
      <c r="H1122" s="6">
        <f t="shared" si="80"/>
        <v>6445</v>
      </c>
      <c r="I1122" s="6">
        <f t="shared" si="81"/>
        <v>4371</v>
      </c>
      <c r="P1122" s="48"/>
      <c r="Q1122" s="48"/>
      <c r="R1122" s="48"/>
      <c r="S1122" s="48"/>
      <c r="T1122" s="49"/>
      <c r="U1122" s="49"/>
    </row>
    <row r="1123" spans="1:28">
      <c r="C1123" s="48"/>
      <c r="D1123" s="48">
        <f t="shared" si="82"/>
        <v>7</v>
      </c>
      <c r="E1123" s="48" t="str">
        <f t="shared" si="82"/>
        <v>Ellipse</v>
      </c>
      <c r="F1123" s="6">
        <f t="shared" si="82"/>
        <v>6495</v>
      </c>
      <c r="G1123" s="6">
        <f t="shared" si="85"/>
        <v>4441</v>
      </c>
      <c r="H1123" s="6">
        <f t="shared" si="80"/>
        <v>6445</v>
      </c>
      <c r="I1123" s="6">
        <f t="shared" si="81"/>
        <v>4491</v>
      </c>
      <c r="P1123" s="48"/>
      <c r="Q1123" s="48"/>
      <c r="R1123" s="48"/>
      <c r="S1123" s="48"/>
      <c r="T1123" s="49"/>
      <c r="U1123" s="49"/>
    </row>
    <row r="1124" spans="1:28">
      <c r="C1124" s="48"/>
      <c r="D1124" s="48">
        <f t="shared" si="82"/>
        <v>7</v>
      </c>
      <c r="E1124" s="48" t="str">
        <f t="shared" si="82"/>
        <v>Ellipse</v>
      </c>
      <c r="F1124" s="6">
        <f t="shared" si="82"/>
        <v>6495</v>
      </c>
      <c r="G1124" s="6">
        <f t="shared" si="85"/>
        <v>4561</v>
      </c>
      <c r="H1124" s="6">
        <f t="shared" si="80"/>
        <v>6445</v>
      </c>
      <c r="I1124" s="6">
        <f t="shared" si="81"/>
        <v>4611</v>
      </c>
      <c r="P1124" s="48"/>
      <c r="Q1124" s="48"/>
      <c r="R1124" s="48"/>
      <c r="S1124" s="48"/>
      <c r="T1124" s="49"/>
      <c r="U1124" s="49"/>
    </row>
    <row r="1125" spans="1:28">
      <c r="C1125" s="48"/>
      <c r="D1125" s="48">
        <f t="shared" si="82"/>
        <v>7</v>
      </c>
      <c r="E1125" s="48" t="str">
        <f t="shared" si="82"/>
        <v>Ellipse</v>
      </c>
      <c r="F1125" s="6">
        <f t="shared" si="82"/>
        <v>6495</v>
      </c>
      <c r="G1125" s="6">
        <f t="shared" si="85"/>
        <v>4681</v>
      </c>
      <c r="H1125" s="6">
        <f t="shared" si="80"/>
        <v>6445</v>
      </c>
      <c r="I1125" s="6">
        <f t="shared" si="81"/>
        <v>4731</v>
      </c>
      <c r="P1125" s="48"/>
      <c r="Q1125" s="48"/>
      <c r="R1125" s="48"/>
      <c r="S1125" s="48"/>
      <c r="T1125" s="49"/>
      <c r="U1125" s="49"/>
    </row>
    <row r="1126" spans="1:28">
      <c r="C1126" s="48"/>
      <c r="D1126" s="48">
        <f t="shared" si="82"/>
        <v>7</v>
      </c>
      <c r="E1126" s="48" t="str">
        <f t="shared" si="82"/>
        <v>Ellipse</v>
      </c>
      <c r="F1126" s="6">
        <f t="shared" si="82"/>
        <v>6495</v>
      </c>
      <c r="G1126" s="6">
        <f t="shared" si="85"/>
        <v>4801</v>
      </c>
      <c r="H1126" s="6">
        <f t="shared" si="80"/>
        <v>6445</v>
      </c>
      <c r="I1126" s="6">
        <f t="shared" si="81"/>
        <v>4851</v>
      </c>
      <c r="P1126" s="48"/>
      <c r="Q1126" s="48"/>
      <c r="R1126" s="48"/>
      <c r="S1126" s="48"/>
      <c r="T1126" s="49"/>
      <c r="U1126" s="49"/>
    </row>
    <row r="1127" spans="1:28">
      <c r="C1127" s="48"/>
      <c r="D1127" s="48">
        <f t="shared" ref="D1127:F1132" si="86">D1126</f>
        <v>7</v>
      </c>
      <c r="E1127" s="48" t="str">
        <f t="shared" si="86"/>
        <v>Ellipse</v>
      </c>
      <c r="F1127" s="6">
        <f t="shared" si="86"/>
        <v>6495</v>
      </c>
      <c r="G1127" s="6">
        <f t="shared" si="85"/>
        <v>4921</v>
      </c>
      <c r="H1127" s="6">
        <f t="shared" si="80"/>
        <v>6445</v>
      </c>
      <c r="I1127" s="6">
        <f t="shared" si="81"/>
        <v>4971</v>
      </c>
      <c r="P1127" s="48"/>
      <c r="Q1127" s="48"/>
      <c r="R1127" s="48"/>
      <c r="S1127" s="48"/>
      <c r="T1127" s="49"/>
      <c r="U1127" s="49"/>
    </row>
    <row r="1128" spans="1:28">
      <c r="C1128" s="48"/>
      <c r="D1128" s="48">
        <f t="shared" si="86"/>
        <v>7</v>
      </c>
      <c r="E1128" s="48" t="str">
        <f t="shared" si="86"/>
        <v>Ellipse</v>
      </c>
      <c r="F1128" s="6">
        <f>F1120</f>
        <v>6615</v>
      </c>
      <c r="G1128" s="6">
        <f>G1127</f>
        <v>4921</v>
      </c>
      <c r="H1128" s="6">
        <f t="shared" si="80"/>
        <v>6565</v>
      </c>
      <c r="I1128" s="6">
        <f t="shared" si="81"/>
        <v>4971</v>
      </c>
      <c r="P1128" s="48"/>
      <c r="Q1128" s="48"/>
      <c r="R1128" s="48"/>
      <c r="S1128" s="48"/>
      <c r="T1128" s="49"/>
      <c r="U1128" s="49"/>
    </row>
    <row r="1129" spans="1:28">
      <c r="C1129" s="48"/>
      <c r="D1129" s="48">
        <f t="shared" si="86"/>
        <v>7</v>
      </c>
      <c r="E1129" s="48" t="str">
        <f t="shared" si="86"/>
        <v>Ellipse</v>
      </c>
      <c r="F1129" s="6">
        <f>F1119</f>
        <v>6735</v>
      </c>
      <c r="G1129" s="6">
        <f>G1128</f>
        <v>4921</v>
      </c>
      <c r="H1129" s="6">
        <f t="shared" si="80"/>
        <v>6685</v>
      </c>
      <c r="I1129" s="6">
        <f t="shared" si="81"/>
        <v>4971</v>
      </c>
      <c r="P1129" s="48"/>
      <c r="Q1129" s="48"/>
      <c r="R1129" s="48"/>
      <c r="S1129" s="48"/>
      <c r="T1129" s="49"/>
      <c r="U1129" s="49"/>
    </row>
    <row r="1130" spans="1:28">
      <c r="C1130" s="48"/>
      <c r="D1130" s="48">
        <f t="shared" si="86"/>
        <v>7</v>
      </c>
      <c r="E1130" s="48" t="str">
        <f t="shared" si="86"/>
        <v>Ellipse</v>
      </c>
      <c r="F1130" s="6">
        <f>F1118</f>
        <v>6855</v>
      </c>
      <c r="G1130" s="6">
        <f>G1129</f>
        <v>4921</v>
      </c>
      <c r="H1130" s="6">
        <f t="shared" si="80"/>
        <v>6805</v>
      </c>
      <c r="I1130" s="6">
        <f t="shared" si="81"/>
        <v>4971</v>
      </c>
      <c r="P1130" s="48"/>
      <c r="Q1130" s="48"/>
      <c r="R1130" s="48"/>
      <c r="S1130" s="48"/>
      <c r="T1130" s="49"/>
      <c r="U1130" s="49"/>
    </row>
    <row r="1131" spans="1:28">
      <c r="C1131" s="48"/>
      <c r="D1131" s="48">
        <f t="shared" si="86"/>
        <v>7</v>
      </c>
      <c r="E1131" s="48" t="str">
        <f t="shared" si="86"/>
        <v>Ellipse</v>
      </c>
      <c r="F1131" s="6">
        <f>F1117</f>
        <v>6975</v>
      </c>
      <c r="G1131" s="6">
        <f>G1130</f>
        <v>4921</v>
      </c>
      <c r="H1131" s="6">
        <f t="shared" si="80"/>
        <v>6925</v>
      </c>
      <c r="I1131" s="6">
        <f t="shared" si="81"/>
        <v>4971</v>
      </c>
      <c r="P1131" s="48"/>
      <c r="Q1131" s="48"/>
      <c r="R1131" s="48"/>
      <c r="S1131" s="48"/>
      <c r="T1131" s="49"/>
      <c r="U1131" s="49"/>
    </row>
    <row r="1132" spans="1:28">
      <c r="C1132" s="48"/>
      <c r="D1132" s="48">
        <f t="shared" si="86"/>
        <v>7</v>
      </c>
      <c r="E1132" s="48" t="str">
        <f t="shared" si="86"/>
        <v>Ellipse</v>
      </c>
      <c r="F1132" s="6">
        <f>F1116</f>
        <v>7095</v>
      </c>
      <c r="G1132" s="6">
        <f>G1131</f>
        <v>4921</v>
      </c>
      <c r="H1132" s="6">
        <f t="shared" si="80"/>
        <v>7045</v>
      </c>
      <c r="I1132" s="6">
        <f t="shared" si="81"/>
        <v>4971</v>
      </c>
      <c r="P1132" s="48"/>
      <c r="Q1132" s="48"/>
      <c r="R1132" s="48"/>
      <c r="S1132" s="48"/>
      <c r="T1132" s="49"/>
      <c r="U1132" s="49"/>
    </row>
    <row r="1133" spans="1:28">
      <c r="C1133" s="48"/>
      <c r="D1133" s="48"/>
      <c r="E1133" s="49" t="s">
        <v>768</v>
      </c>
      <c r="F1133" s="49">
        <v>24</v>
      </c>
      <c r="G1133" s="49">
        <v>0</v>
      </c>
      <c r="H1133" s="50">
        <v>-2560</v>
      </c>
      <c r="I1133" s="50">
        <v>1</v>
      </c>
      <c r="P1133" s="48"/>
      <c r="Q1133" s="48"/>
      <c r="R1133" s="48"/>
      <c r="S1133" s="48"/>
      <c r="T1133" s="49"/>
      <c r="U1133" s="49"/>
    </row>
    <row r="1134" spans="1:28">
      <c r="C1134" s="48"/>
      <c r="D1134" s="48"/>
      <c r="E1134" s="49" t="s">
        <v>768</v>
      </c>
      <c r="F1134" s="49">
        <v>24</v>
      </c>
      <c r="G1134" s="49">
        <v>0</v>
      </c>
      <c r="H1134" s="50">
        <v>-2560</v>
      </c>
      <c r="I1134" s="50">
        <v>1</v>
      </c>
      <c r="P1134" s="48"/>
      <c r="Q1134" s="48"/>
      <c r="R1134" s="48"/>
      <c r="S1134" s="48"/>
      <c r="T1134" s="49"/>
      <c r="U1134" s="49"/>
    </row>
    <row r="1136" spans="1:28">
      <c r="A1136" s="48" t="s">
        <v>383</v>
      </c>
      <c r="B1136" s="2" t="s">
        <v>134</v>
      </c>
      <c r="C1136" s="2"/>
      <c r="D1136" s="2"/>
      <c r="E1136" s="2">
        <v>52695</v>
      </c>
      <c r="F1136" s="24">
        <v>39622</v>
      </c>
      <c r="G1136" s="24">
        <v>0</v>
      </c>
      <c r="H1136" s="24">
        <v>0</v>
      </c>
      <c r="I1136" s="24">
        <v>0</v>
      </c>
      <c r="J1136" s="24">
        <v>5600</v>
      </c>
      <c r="K1136" s="24">
        <v>1800</v>
      </c>
      <c r="L1136" s="24">
        <v>960</v>
      </c>
      <c r="M1136" s="24">
        <v>0</v>
      </c>
      <c r="N1136" s="24">
        <v>0</v>
      </c>
      <c r="O1136" s="24" t="e">
        <f ca="1">checksummeint(G1136,H1136,I1136,J1136,K1136,L1136,M1136,N1136)</f>
        <v>#NAME?</v>
      </c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</row>
    <row r="1137" spans="3:28">
      <c r="C1137" s="2"/>
      <c r="D1137" s="2">
        <v>28</v>
      </c>
      <c r="E1137" s="2" t="s">
        <v>12</v>
      </c>
      <c r="F1137" s="24">
        <v>180</v>
      </c>
      <c r="G1137" s="24">
        <v>0</v>
      </c>
      <c r="H1137" s="24">
        <v>0</v>
      </c>
      <c r="I1137" s="24">
        <v>0</v>
      </c>
      <c r="J1137" s="24">
        <v>400</v>
      </c>
      <c r="K1137" s="24">
        <v>0</v>
      </c>
      <c r="L1137" s="24">
        <v>0</v>
      </c>
      <c r="M1137" s="24">
        <v>0</v>
      </c>
      <c r="N1137" s="24">
        <v>0</v>
      </c>
      <c r="O1137" s="24" t="s">
        <v>19</v>
      </c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</row>
    <row r="1138" spans="3:28">
      <c r="C1138" s="2"/>
      <c r="D1138" s="2">
        <v>8</v>
      </c>
      <c r="E1138" s="2" t="s">
        <v>14</v>
      </c>
      <c r="F1138" s="24">
        <v>0</v>
      </c>
      <c r="G1138" s="24">
        <v>10</v>
      </c>
      <c r="H1138" s="24">
        <v>0</v>
      </c>
      <c r="I1138" s="24">
        <v>0</v>
      </c>
      <c r="J1138" s="24">
        <v>0</v>
      </c>
      <c r="K1138" s="24"/>
      <c r="L1138" s="24"/>
      <c r="M1138" s="24"/>
      <c r="N1138" s="24"/>
      <c r="O1138" s="24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</row>
    <row r="1139" spans="3:28">
      <c r="C1139" s="2"/>
      <c r="D1139" s="2">
        <v>7</v>
      </c>
      <c r="E1139" s="2" t="s">
        <v>11</v>
      </c>
      <c r="F1139" s="24">
        <v>0</v>
      </c>
      <c r="G1139" s="24">
        <v>0</v>
      </c>
      <c r="H1139" s="24">
        <v>0</v>
      </c>
      <c r="I1139" s="24">
        <v>0</v>
      </c>
      <c r="J1139" s="24"/>
      <c r="K1139" s="24"/>
      <c r="L1139" s="24"/>
      <c r="M1139" s="24"/>
      <c r="N1139" s="24"/>
      <c r="O1139" s="24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</row>
    <row r="1140" spans="3:28">
      <c r="C1140" s="2"/>
      <c r="D1140" s="2">
        <v>8</v>
      </c>
      <c r="E1140" s="2" t="s">
        <v>14</v>
      </c>
      <c r="F1140" s="24">
        <v>0</v>
      </c>
      <c r="G1140" s="24">
        <v>5</v>
      </c>
      <c r="H1140" s="24">
        <v>0</v>
      </c>
      <c r="I1140" s="24">
        <f>257*192</f>
        <v>49344</v>
      </c>
      <c r="J1140" s="24">
        <v>192</v>
      </c>
      <c r="K1140" s="24"/>
      <c r="L1140" s="24"/>
      <c r="M1140" s="24"/>
      <c r="N1140" s="24"/>
      <c r="O1140" s="24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</row>
    <row r="1141" spans="3:28">
      <c r="C1141" s="2"/>
      <c r="D1141" s="2">
        <v>7</v>
      </c>
      <c r="E1141" s="2" t="s">
        <v>11</v>
      </c>
      <c r="F1141" s="24">
        <v>0</v>
      </c>
      <c r="G1141" s="24">
        <f>255*256+192</f>
        <v>65472</v>
      </c>
      <c r="H1141" s="24">
        <v>192</v>
      </c>
      <c r="I1141" s="24">
        <v>0</v>
      </c>
      <c r="J1141" s="24"/>
      <c r="K1141" s="24"/>
      <c r="L1141" s="24"/>
      <c r="M1141" s="24"/>
      <c r="N1141" s="24"/>
      <c r="O1141" s="24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</row>
    <row r="1142" spans="3:28">
      <c r="C1142" s="2"/>
      <c r="D1142" s="2">
        <v>4</v>
      </c>
      <c r="E1142" s="2" t="s">
        <v>15</v>
      </c>
      <c r="F1142" s="24">
        <v>0</v>
      </c>
      <c r="G1142" s="24"/>
      <c r="H1142" s="24"/>
      <c r="I1142" s="24"/>
      <c r="J1142" s="24"/>
      <c r="K1142" s="24"/>
      <c r="L1142" s="24"/>
      <c r="M1142" s="24"/>
      <c r="N1142" s="24"/>
      <c r="O1142" s="24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</row>
    <row r="1143" spans="3:28">
      <c r="C1143" s="2"/>
      <c r="D1143" s="2">
        <v>4</v>
      </c>
      <c r="E1143" s="2" t="s">
        <v>15</v>
      </c>
      <c r="F1143" s="24">
        <v>1</v>
      </c>
      <c r="G1143" s="24"/>
      <c r="H1143" s="24"/>
      <c r="I1143" s="24"/>
      <c r="J1143" s="24"/>
      <c r="K1143" s="24"/>
      <c r="L1143" s="24"/>
      <c r="M1143" s="24"/>
      <c r="N1143" s="24"/>
      <c r="O1143" s="24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</row>
    <row r="1144" spans="3:28">
      <c r="C1144" s="2"/>
      <c r="D1144" s="2">
        <v>5</v>
      </c>
      <c r="E1144" s="2" t="s">
        <v>59</v>
      </c>
      <c r="F1144" s="24">
        <v>1</v>
      </c>
      <c r="G1144" s="24">
        <v>0</v>
      </c>
      <c r="H1144" s="24"/>
      <c r="I1144" s="24"/>
      <c r="J1144" s="24"/>
      <c r="K1144" s="24"/>
      <c r="L1144" s="24"/>
      <c r="M1144" s="24"/>
      <c r="N1144" s="24"/>
      <c r="O1144" s="24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</row>
    <row r="1145" spans="3:28">
      <c r="C1145" s="2"/>
      <c r="D1145" s="2">
        <f>F1145*2+4</f>
        <v>10</v>
      </c>
      <c r="E1145" s="2" t="s">
        <v>1</v>
      </c>
      <c r="F1145" s="24">
        <v>3</v>
      </c>
      <c r="G1145" s="24">
        <v>100</v>
      </c>
      <c r="H1145" s="24">
        <v>600</v>
      </c>
      <c r="I1145" s="24">
        <v>5200</v>
      </c>
      <c r="J1145" s="24">
        <v>600</v>
      </c>
      <c r="K1145" s="24">
        <v>5200</v>
      </c>
      <c r="L1145" s="24">
        <v>1700</v>
      </c>
      <c r="M1145" s="24"/>
      <c r="N1145" s="24"/>
      <c r="O1145" s="24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</row>
    <row r="1146" spans="3:28">
      <c r="C1146" s="2"/>
      <c r="D1146" s="2">
        <v>4</v>
      </c>
      <c r="E1146" s="2" t="s">
        <v>15</v>
      </c>
      <c r="F1146" s="24">
        <v>2</v>
      </c>
      <c r="G1146" s="24"/>
      <c r="H1146" s="24"/>
      <c r="I1146" s="24"/>
      <c r="J1146" s="24"/>
      <c r="K1146" s="24"/>
      <c r="L1146" s="24"/>
      <c r="M1146" s="24"/>
      <c r="N1146" s="24"/>
      <c r="O1146" s="24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</row>
    <row r="1147" spans="3:28">
      <c r="C1147" s="2"/>
      <c r="D1147" s="2">
        <v>18</v>
      </c>
      <c r="E1147" s="2" t="s">
        <v>111</v>
      </c>
      <c r="F1147" s="24">
        <v>100</v>
      </c>
      <c r="G1147" s="24">
        <v>200</v>
      </c>
      <c r="H1147" s="24">
        <v>1700</v>
      </c>
      <c r="I1147" s="24">
        <v>200</v>
      </c>
      <c r="J1147" s="24">
        <v>350</v>
      </c>
      <c r="K1147" s="24"/>
      <c r="L1147" s="24"/>
      <c r="M1147" s="24"/>
      <c r="N1147" s="24"/>
      <c r="O1147" s="24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</row>
    <row r="1148" spans="3:28">
      <c r="C1148" s="2"/>
      <c r="D1148" s="2">
        <v>18</v>
      </c>
      <c r="E1148" s="2" t="s">
        <v>111</v>
      </c>
      <c r="F1148" s="24">
        <v>100</v>
      </c>
      <c r="G1148" s="24">
        <v>100</v>
      </c>
      <c r="H1148" s="24">
        <v>1600</v>
      </c>
      <c r="I1148" s="24">
        <v>5400</v>
      </c>
      <c r="J1148" s="24">
        <v>1600</v>
      </c>
      <c r="K1148" s="24"/>
      <c r="L1148" s="24"/>
      <c r="M1148" s="24"/>
      <c r="N1148" s="24"/>
      <c r="O1148" s="24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</row>
    <row r="1149" spans="3:28">
      <c r="C1149" s="2"/>
      <c r="D1149" s="2">
        <v>64</v>
      </c>
      <c r="E1149" s="2" t="s">
        <v>114</v>
      </c>
      <c r="F1149" s="24">
        <v>100</v>
      </c>
      <c r="G1149" s="24">
        <v>450</v>
      </c>
      <c r="H1149" s="24">
        <v>450</v>
      </c>
      <c r="I1149" s="24">
        <v>2075</v>
      </c>
      <c r="J1149" s="24">
        <f>H1149</f>
        <v>450</v>
      </c>
      <c r="K1149" s="24">
        <v>1825</v>
      </c>
      <c r="L1149" s="24">
        <f>J1149</f>
        <v>450</v>
      </c>
      <c r="M1149" s="24"/>
      <c r="N1149" s="24"/>
      <c r="O1149" s="24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</row>
    <row r="1150" spans="3:28">
      <c r="C1150" s="2"/>
      <c r="D1150" s="2">
        <v>4</v>
      </c>
      <c r="E1150" s="2" t="s">
        <v>15</v>
      </c>
      <c r="F1150" s="24">
        <v>3</v>
      </c>
      <c r="G1150" s="24"/>
      <c r="H1150" s="24"/>
      <c r="I1150" s="24"/>
      <c r="J1150" s="24"/>
      <c r="K1150" s="24"/>
      <c r="L1150" s="24"/>
      <c r="M1150" s="24"/>
      <c r="N1150" s="24"/>
      <c r="O1150" s="24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</row>
    <row r="1151" spans="3:28">
      <c r="C1151" s="2"/>
      <c r="D1151" s="2">
        <f t="shared" ref="D1151:D1156" si="87">F1151*2+4</f>
        <v>10</v>
      </c>
      <c r="E1151" s="2" t="s">
        <v>1</v>
      </c>
      <c r="F1151" s="24">
        <v>3</v>
      </c>
      <c r="G1151" s="24">
        <v>200</v>
      </c>
      <c r="H1151" s="24">
        <v>600</v>
      </c>
      <c r="I1151" s="24">
        <v>1200</v>
      </c>
      <c r="J1151" s="24">
        <v>1600</v>
      </c>
      <c r="K1151" s="24">
        <f>I1151*2-200</f>
        <v>2200</v>
      </c>
      <c r="L1151" s="24">
        <f>H1152</f>
        <v>600</v>
      </c>
      <c r="M1151" s="24"/>
      <c r="N1151" s="24"/>
      <c r="O1151" s="24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</row>
    <row r="1152" spans="3:28">
      <c r="C1152" s="2"/>
      <c r="D1152" s="2">
        <f t="shared" si="87"/>
        <v>10</v>
      </c>
      <c r="E1152" s="2" t="str">
        <f>E1151</f>
        <v>Polylinie</v>
      </c>
      <c r="F1152" s="24">
        <v>3</v>
      </c>
      <c r="G1152" s="24">
        <f t="shared" ref="G1152:H1155" si="88">G1151</f>
        <v>200</v>
      </c>
      <c r="H1152" s="24">
        <f t="shared" si="88"/>
        <v>600</v>
      </c>
      <c r="I1152" s="24">
        <f>I1151+1000</f>
        <v>2200</v>
      </c>
      <c r="J1152" s="24">
        <f>J1151</f>
        <v>1600</v>
      </c>
      <c r="K1152" s="24">
        <f>I1152*2-200</f>
        <v>4200</v>
      </c>
      <c r="L1152" s="24">
        <f>H1153</f>
        <v>600</v>
      </c>
      <c r="M1152" s="24"/>
      <c r="N1152" s="24"/>
      <c r="O1152" s="24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</row>
    <row r="1153" spans="3:28">
      <c r="C1153" s="2"/>
      <c r="D1153" s="2">
        <f t="shared" si="87"/>
        <v>10</v>
      </c>
      <c r="E1153" s="2" t="str">
        <f>E1152</f>
        <v>Polylinie</v>
      </c>
      <c r="F1153" s="24">
        <v>3</v>
      </c>
      <c r="G1153" s="24">
        <f t="shared" si="88"/>
        <v>200</v>
      </c>
      <c r="H1153" s="24">
        <f t="shared" si="88"/>
        <v>600</v>
      </c>
      <c r="I1153" s="24">
        <f>I1152+1000</f>
        <v>3200</v>
      </c>
      <c r="J1153" s="24">
        <f>J1152</f>
        <v>1600</v>
      </c>
      <c r="K1153" s="24">
        <v>5200</v>
      </c>
      <c r="L1153" s="24">
        <v>933</v>
      </c>
      <c r="M1153" s="24"/>
      <c r="N1153" s="24"/>
      <c r="O1153" s="24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</row>
    <row r="1154" spans="3:28">
      <c r="C1154" s="2"/>
      <c r="D1154" s="2">
        <f t="shared" si="87"/>
        <v>10</v>
      </c>
      <c r="E1154" s="2" t="str">
        <f>E1153</f>
        <v>Polylinie</v>
      </c>
      <c r="F1154" s="24">
        <v>3</v>
      </c>
      <c r="G1154" s="24">
        <f t="shared" si="88"/>
        <v>200</v>
      </c>
      <c r="H1154" s="24">
        <f t="shared" si="88"/>
        <v>600</v>
      </c>
      <c r="I1154" s="24">
        <f>I1153+1000</f>
        <v>4200</v>
      </c>
      <c r="J1154" s="24">
        <f>J1153</f>
        <v>1600</v>
      </c>
      <c r="K1154" s="24">
        <v>5200</v>
      </c>
      <c r="L1154" s="24">
        <v>1350</v>
      </c>
      <c r="M1154" s="24"/>
      <c r="N1154" s="24"/>
      <c r="O1154" s="24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</row>
    <row r="1155" spans="3:28">
      <c r="C1155" s="2"/>
      <c r="D1155" s="2">
        <f t="shared" si="87"/>
        <v>8</v>
      </c>
      <c r="E1155" s="2" t="str">
        <f>E1154</f>
        <v>Polylinie</v>
      </c>
      <c r="F1155" s="24">
        <v>2</v>
      </c>
      <c r="G1155" s="24">
        <f t="shared" si="88"/>
        <v>200</v>
      </c>
      <c r="H1155" s="24">
        <f t="shared" si="88"/>
        <v>600</v>
      </c>
      <c r="I1155" s="24">
        <f>I1154+1000</f>
        <v>5200</v>
      </c>
      <c r="J1155" s="24">
        <f>J1154</f>
        <v>1600</v>
      </c>
      <c r="K1155" s="24"/>
      <c r="L1155" s="24"/>
      <c r="M1155" s="24"/>
      <c r="N1155" s="24"/>
      <c r="O1155" s="24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</row>
    <row r="1156" spans="3:28">
      <c r="C1156" s="2"/>
      <c r="D1156" s="2">
        <f t="shared" si="87"/>
        <v>8</v>
      </c>
      <c r="E1156" s="2" t="str">
        <f>E1155</f>
        <v>Polylinie</v>
      </c>
      <c r="F1156" s="24">
        <v>2</v>
      </c>
      <c r="G1156" s="24">
        <f>I1151-1000</f>
        <v>200</v>
      </c>
      <c r="H1156" s="24">
        <f>H1151+1000</f>
        <v>1600</v>
      </c>
      <c r="I1156" s="24">
        <f>G1156</f>
        <v>200</v>
      </c>
      <c r="J1156" s="24">
        <f>H1151</f>
        <v>600</v>
      </c>
      <c r="K1156" s="24"/>
      <c r="L1156" s="24"/>
      <c r="M1156" s="24"/>
      <c r="N1156" s="24"/>
      <c r="O1156" s="24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</row>
    <row r="1157" spans="3:28">
      <c r="C1157" s="2"/>
      <c r="D1157" s="2">
        <v>4</v>
      </c>
      <c r="E1157" s="2" t="s">
        <v>15</v>
      </c>
      <c r="F1157" s="24">
        <v>1</v>
      </c>
      <c r="G1157" s="24"/>
      <c r="H1157" s="24"/>
      <c r="I1157" s="24"/>
      <c r="J1157" s="24"/>
      <c r="K1157" s="24"/>
      <c r="L1157" s="24"/>
      <c r="M1157" s="24"/>
      <c r="N1157" s="24"/>
      <c r="O1157" s="24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</row>
    <row r="1158" spans="3:28">
      <c r="C1158" s="2"/>
      <c r="D1158" s="2">
        <v>4</v>
      </c>
      <c r="E1158" s="2" t="s">
        <v>15</v>
      </c>
      <c r="F1158" s="24">
        <v>4</v>
      </c>
      <c r="G1158" s="24"/>
      <c r="H1158" s="24"/>
      <c r="I1158" s="24"/>
      <c r="J1158" s="24"/>
      <c r="K1158" s="24"/>
      <c r="L1158" s="24"/>
      <c r="M1158" s="24">
        <f>1000/(2+1/O1158)</f>
        <v>333.33333333333331</v>
      </c>
      <c r="N1158" s="24">
        <f>M1158/O1158</f>
        <v>333.33333333333331</v>
      </c>
      <c r="O1158" s="24">
        <v>1</v>
      </c>
      <c r="P1158" s="2"/>
      <c r="Q1158" s="2">
        <f>1000/(2+1/S1158)</f>
        <v>400</v>
      </c>
      <c r="R1158" s="2">
        <f>Q1158/S1158</f>
        <v>200</v>
      </c>
      <c r="S1158" s="2">
        <v>2</v>
      </c>
      <c r="T1158" s="2"/>
      <c r="U1158" s="2">
        <f>1000/(2+1/W1158)</f>
        <v>428.57142857142856</v>
      </c>
      <c r="V1158" s="2">
        <f>U1158/W1158</f>
        <v>142.85714285714286</v>
      </c>
      <c r="W1158" s="2">
        <v>3</v>
      </c>
      <c r="X1158" s="2"/>
      <c r="Y1158" s="2">
        <f>1000/(2+1/AA1158)</f>
        <v>444.44444444444446</v>
      </c>
      <c r="Z1158" s="2">
        <f>Y1158/AA1158</f>
        <v>111.11111111111111</v>
      </c>
      <c r="AA1158" s="2">
        <v>4</v>
      </c>
      <c r="AB1158" s="2"/>
    </row>
    <row r="1159" spans="3:28">
      <c r="C1159" s="2"/>
      <c r="D1159" s="2">
        <f>F1159*2+4</f>
        <v>26</v>
      </c>
      <c r="E1159" s="2" t="s">
        <v>4</v>
      </c>
      <c r="F1159" s="24">
        <v>11</v>
      </c>
      <c r="G1159" s="24">
        <v>200</v>
      </c>
      <c r="H1159" s="24">
        <v>1600</v>
      </c>
      <c r="I1159" s="24">
        <v>200</v>
      </c>
      <c r="J1159" s="24">
        <v>600</v>
      </c>
      <c r="K1159" s="24">
        <v>1200</v>
      </c>
      <c r="L1159" s="24">
        <v>1600</v>
      </c>
      <c r="M1159" s="24">
        <f>M1158+K1159</f>
        <v>1533.3333333333333</v>
      </c>
      <c r="N1159" s="24">
        <f>L1159-N1158</f>
        <v>1266.6666666666667</v>
      </c>
      <c r="O1159" s="24">
        <f>K1159+1000</f>
        <v>2200</v>
      </c>
      <c r="P1159" s="2">
        <f>L1159</f>
        <v>1600</v>
      </c>
      <c r="Q1159" s="2">
        <f>Q1158+O1159</f>
        <v>2600</v>
      </c>
      <c r="R1159" s="2">
        <f>P1159-R1158</f>
        <v>1400</v>
      </c>
      <c r="S1159" s="2">
        <f>O1159+1000</f>
        <v>3200</v>
      </c>
      <c r="T1159" s="2">
        <f>P1159</f>
        <v>1600</v>
      </c>
      <c r="U1159" s="2">
        <f>U1158+S1159</f>
        <v>3628.5714285714284</v>
      </c>
      <c r="V1159" s="2">
        <f>T1159-V1158</f>
        <v>1457.1428571428571</v>
      </c>
      <c r="W1159" s="2">
        <f>S1159+1000</f>
        <v>4200</v>
      </c>
      <c r="X1159" s="2">
        <f>T1159</f>
        <v>1600</v>
      </c>
      <c r="Y1159" s="2">
        <f>Y1158+W1159</f>
        <v>4644.4444444444443</v>
      </c>
      <c r="Z1159" s="2">
        <f>X1159-Z1158</f>
        <v>1488.8888888888889</v>
      </c>
      <c r="AA1159" s="2">
        <f>W1159+1000</f>
        <v>5200</v>
      </c>
      <c r="AB1159" s="2">
        <f>X1159</f>
        <v>1600</v>
      </c>
    </row>
    <row r="1160" spans="3:28">
      <c r="C1160" s="2"/>
      <c r="D1160" s="2">
        <f t="shared" ref="D1160:D1165" si="89">ROUNDUP(6+F1160/2,0)</f>
        <v>33</v>
      </c>
      <c r="E1160" s="2" t="s">
        <v>6</v>
      </c>
      <c r="F1160" s="24">
        <f t="shared" ref="F1160:F1165" si="90">LEN(G1160)</f>
        <v>54</v>
      </c>
      <c r="G1160" s="24" t="s">
        <v>132</v>
      </c>
      <c r="H1160" s="24">
        <v>25</v>
      </c>
      <c r="I1160" s="24">
        <v>25</v>
      </c>
      <c r="J1160" s="24"/>
      <c r="K1160" s="24"/>
      <c r="L1160" s="24"/>
      <c r="M1160" s="24"/>
      <c r="N1160" s="24"/>
      <c r="O1160" s="24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</row>
    <row r="1161" spans="3:28">
      <c r="C1161" s="2"/>
      <c r="D1161" s="2">
        <f t="shared" si="89"/>
        <v>7</v>
      </c>
      <c r="E1161" s="2" t="s">
        <v>6</v>
      </c>
      <c r="F1161" s="24">
        <f t="shared" si="90"/>
        <v>1</v>
      </c>
      <c r="G1161" s="24">
        <v>0</v>
      </c>
      <c r="H1161" s="24">
        <v>1520</v>
      </c>
      <c r="I1161" s="24">
        <v>25</v>
      </c>
      <c r="J1161" s="24"/>
      <c r="K1161" s="24"/>
      <c r="L1161" s="24"/>
      <c r="M1161" s="24"/>
      <c r="N1161" s="24"/>
      <c r="O1161" s="24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</row>
    <row r="1162" spans="3:28">
      <c r="C1162" s="2"/>
      <c r="D1162" s="2">
        <f t="shared" si="89"/>
        <v>7</v>
      </c>
      <c r="E1162" s="2" t="s">
        <v>6</v>
      </c>
      <c r="F1162" s="24">
        <f t="shared" si="90"/>
        <v>1</v>
      </c>
      <c r="G1162" s="24">
        <v>1</v>
      </c>
      <c r="H1162" s="24">
        <v>520</v>
      </c>
      <c r="I1162" s="24">
        <v>25</v>
      </c>
      <c r="J1162" s="24"/>
      <c r="K1162" s="24"/>
      <c r="L1162" s="24"/>
      <c r="M1162" s="24"/>
      <c r="N1162" s="24"/>
      <c r="O1162" s="24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</row>
    <row r="1163" spans="3:28">
      <c r="C1163" s="2"/>
      <c r="D1163" s="2">
        <f t="shared" si="89"/>
        <v>7</v>
      </c>
      <c r="E1163" s="2" t="s">
        <v>6</v>
      </c>
      <c r="F1163" s="24">
        <f t="shared" si="90"/>
        <v>1</v>
      </c>
      <c r="G1163" s="24" t="s">
        <v>43</v>
      </c>
      <c r="H1163" s="24">
        <v>180</v>
      </c>
      <c r="I1163" s="24">
        <v>150</v>
      </c>
      <c r="J1163" s="24"/>
      <c r="K1163" s="24"/>
      <c r="L1163" s="24"/>
      <c r="M1163" s="24"/>
      <c r="N1163" s="24"/>
      <c r="O1163" s="24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</row>
    <row r="1164" spans="3:28">
      <c r="C1164" s="2"/>
      <c r="D1164" s="2">
        <f t="shared" si="89"/>
        <v>15</v>
      </c>
      <c r="E1164" s="2" t="s">
        <v>6</v>
      </c>
      <c r="F1164" s="24">
        <f t="shared" si="90"/>
        <v>17</v>
      </c>
      <c r="G1164" s="36" t="s">
        <v>137</v>
      </c>
      <c r="H1164" s="24">
        <v>280</v>
      </c>
      <c r="I1164" s="24">
        <v>600</v>
      </c>
      <c r="J1164" s="24"/>
      <c r="K1164" s="24"/>
      <c r="L1164" s="24"/>
      <c r="M1164" s="24"/>
      <c r="N1164" s="24"/>
      <c r="O1164" s="24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</row>
    <row r="1165" spans="3:28">
      <c r="C1165" s="2"/>
      <c r="D1165" s="2">
        <f t="shared" si="89"/>
        <v>7</v>
      </c>
      <c r="E1165" s="2" t="s">
        <v>6</v>
      </c>
      <c r="F1165" s="24">
        <f t="shared" si="90"/>
        <v>1</v>
      </c>
      <c r="G1165" s="24" t="s">
        <v>22</v>
      </c>
      <c r="H1165" s="24">
        <v>1520</v>
      </c>
      <c r="I1165" s="24">
        <v>5420</v>
      </c>
      <c r="J1165" s="24"/>
      <c r="K1165" s="24"/>
      <c r="L1165" s="24"/>
      <c r="M1165" s="24"/>
      <c r="N1165" s="24"/>
      <c r="O1165" s="24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</row>
    <row r="1166" spans="3:28">
      <c r="C1166" s="2"/>
      <c r="D1166" s="2"/>
      <c r="E1166" s="2" t="s">
        <v>515</v>
      </c>
      <c r="F1166" s="24" t="s">
        <v>560</v>
      </c>
      <c r="G1166" s="24">
        <v>220</v>
      </c>
      <c r="H1166" s="24">
        <v>1620</v>
      </c>
      <c r="I1166" s="24">
        <v>1180</v>
      </c>
      <c r="J1166" s="24">
        <f>I1166+1000</f>
        <v>2180</v>
      </c>
      <c r="K1166" s="24">
        <f>J1166+1000</f>
        <v>3180</v>
      </c>
      <c r="L1166" s="24">
        <f>K1166+1000</f>
        <v>4180</v>
      </c>
      <c r="M1166" s="24">
        <v>5100</v>
      </c>
      <c r="N1166" s="24"/>
      <c r="O1166" s="24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</row>
    <row r="1167" spans="3:28">
      <c r="C1167" s="2"/>
      <c r="D1167" s="2">
        <v>5</v>
      </c>
      <c r="E1167" s="2" t="s">
        <v>59</v>
      </c>
      <c r="F1167" s="24">
        <v>2</v>
      </c>
      <c r="G1167" s="24">
        <v>0</v>
      </c>
      <c r="H1167" s="24"/>
      <c r="I1167" s="24"/>
      <c r="J1167" s="24"/>
      <c r="K1167" s="24"/>
      <c r="L1167" s="24"/>
      <c r="M1167" s="24"/>
      <c r="N1167" s="24"/>
      <c r="O1167" s="24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</row>
    <row r="1168" spans="3:28">
      <c r="C1168" s="2"/>
      <c r="D1168" s="2">
        <f>F1168*2+4</f>
        <v>10</v>
      </c>
      <c r="E1168" s="2" t="s">
        <v>1</v>
      </c>
      <c r="F1168" s="24">
        <v>3</v>
      </c>
      <c r="G1168" s="24">
        <v>500</v>
      </c>
      <c r="H1168" s="24">
        <v>1200</v>
      </c>
      <c r="I1168" s="24">
        <f>G1168+300</f>
        <v>800</v>
      </c>
      <c r="J1168" s="24">
        <f>H1168-200</f>
        <v>1000</v>
      </c>
      <c r="K1168" s="24">
        <f>I1168+100</f>
        <v>900</v>
      </c>
      <c r="L1168" s="24">
        <f>J1168</f>
        <v>1000</v>
      </c>
      <c r="M1168" s="24"/>
      <c r="N1168" s="24"/>
      <c r="O1168" s="24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</row>
    <row r="1169" spans="1:28">
      <c r="C1169" s="2"/>
      <c r="D1169" s="2">
        <f>ROUNDUP(6+F1169/2,0)</f>
        <v>13</v>
      </c>
      <c r="E1169" s="2" t="s">
        <v>6</v>
      </c>
      <c r="F1169" s="24">
        <f>LEN(G1169)</f>
        <v>13</v>
      </c>
      <c r="G1169" s="24" t="s">
        <v>133</v>
      </c>
      <c r="H1169" s="24">
        <f>L1168-80</f>
        <v>920</v>
      </c>
      <c r="I1169" s="24">
        <f>K1168+50</f>
        <v>950</v>
      </c>
      <c r="J1169" s="24"/>
      <c r="K1169" s="24"/>
      <c r="L1169" s="24"/>
      <c r="M1169" s="24"/>
      <c r="N1169" s="24"/>
      <c r="O1169" s="24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</row>
    <row r="1170" spans="1:28">
      <c r="C1170" s="2"/>
      <c r="D1170" s="2">
        <f>F1170*2+4</f>
        <v>10</v>
      </c>
      <c r="E1170" s="2" t="s">
        <v>1</v>
      </c>
      <c r="F1170" s="24">
        <v>3</v>
      </c>
      <c r="G1170" s="24">
        <v>2000</v>
      </c>
      <c r="H1170" s="24">
        <v>800</v>
      </c>
      <c r="I1170" s="24">
        <f>G1170+300</f>
        <v>2300</v>
      </c>
      <c r="J1170" s="24">
        <f>H1170+200</f>
        <v>1000</v>
      </c>
      <c r="K1170" s="24">
        <f>I1170+100</f>
        <v>2400</v>
      </c>
      <c r="L1170" s="24">
        <f>J1170</f>
        <v>1000</v>
      </c>
      <c r="M1170" s="24"/>
      <c r="N1170" s="24"/>
      <c r="O1170" s="24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</row>
    <row r="1171" spans="1:28">
      <c r="C1171" s="2"/>
      <c r="D1171" s="2">
        <f>ROUNDUP(6+F1171/2,0)</f>
        <v>19</v>
      </c>
      <c r="E1171" s="2" t="s">
        <v>6</v>
      </c>
      <c r="F1171" s="24">
        <f>LEN(G1171)</f>
        <v>25</v>
      </c>
      <c r="G1171" s="36" t="s">
        <v>135</v>
      </c>
      <c r="H1171" s="24">
        <f>L1170-80</f>
        <v>920</v>
      </c>
      <c r="I1171" s="24">
        <f>K1170+50</f>
        <v>2450</v>
      </c>
      <c r="J1171" s="24"/>
      <c r="K1171" s="24"/>
      <c r="L1171" s="24"/>
      <c r="M1171" s="24"/>
      <c r="N1171" s="24"/>
      <c r="O1171" s="24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</row>
    <row r="1172" spans="1:28">
      <c r="C1172" s="2"/>
      <c r="D1172" s="2">
        <f>F1172*2+4</f>
        <v>10</v>
      </c>
      <c r="E1172" s="2" t="s">
        <v>1</v>
      </c>
      <c r="F1172" s="24">
        <v>3</v>
      </c>
      <c r="G1172" s="24">
        <v>2000</v>
      </c>
      <c r="H1172" s="24">
        <v>1500</v>
      </c>
      <c r="I1172" s="24">
        <v>2300</v>
      </c>
      <c r="J1172" s="24">
        <v>1150</v>
      </c>
      <c r="K1172" s="24">
        <v>2400</v>
      </c>
      <c r="L1172" s="24">
        <v>1150</v>
      </c>
      <c r="M1172" s="24"/>
      <c r="N1172" s="24"/>
      <c r="O1172" s="24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</row>
    <row r="1173" spans="1:28">
      <c r="C1173" s="2"/>
      <c r="D1173" s="2">
        <f>ROUNDUP(6+F1173/2,0)</f>
        <v>21</v>
      </c>
      <c r="E1173" s="2" t="s">
        <v>6</v>
      </c>
      <c r="F1173" s="24">
        <f>LEN(G1173)</f>
        <v>29</v>
      </c>
      <c r="G1173" s="36" t="s">
        <v>136</v>
      </c>
      <c r="H1173" s="24">
        <v>1070</v>
      </c>
      <c r="I1173" s="24">
        <v>2450</v>
      </c>
      <c r="J1173" s="24"/>
      <c r="K1173" s="24"/>
      <c r="L1173" s="24"/>
      <c r="M1173" s="24"/>
      <c r="N1173" s="24"/>
      <c r="O1173" s="24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</row>
    <row r="1174" spans="1:28">
      <c r="C1174" s="2"/>
      <c r="D1174" s="2">
        <v>7</v>
      </c>
      <c r="E1174" s="2" t="s">
        <v>0</v>
      </c>
      <c r="F1174" s="24">
        <v>700</v>
      </c>
      <c r="G1174" s="24">
        <v>1800</v>
      </c>
      <c r="H1174" s="24">
        <f>F1174+50</f>
        <v>750</v>
      </c>
      <c r="I1174" s="24">
        <f>G1174+50</f>
        <v>1850</v>
      </c>
      <c r="J1174" s="24"/>
      <c r="K1174" s="24"/>
      <c r="L1174" s="24"/>
      <c r="M1174" s="24"/>
      <c r="N1174" s="24"/>
      <c r="O1174" s="24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</row>
    <row r="1175" spans="1:28">
      <c r="C1175" s="2"/>
      <c r="D1175" s="2">
        <f>F1175*2+4</f>
        <v>8</v>
      </c>
      <c r="E1175" s="2" t="s">
        <v>1</v>
      </c>
      <c r="F1175" s="24">
        <v>2</v>
      </c>
      <c r="G1175" s="24">
        <v>450</v>
      </c>
      <c r="H1175" s="24">
        <v>725</v>
      </c>
      <c r="I1175" s="24">
        <v>2075</v>
      </c>
      <c r="J1175" s="24">
        <f>H1175</f>
        <v>725</v>
      </c>
      <c r="K1175" s="24"/>
      <c r="L1175" s="24"/>
      <c r="M1175" s="24"/>
      <c r="N1175" s="24"/>
      <c r="O1175" s="24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</row>
    <row r="1176" spans="1:28">
      <c r="C1176" s="2"/>
      <c r="D1176" s="2">
        <f>ROUNDUP(6+F1176/2,0)</f>
        <v>9</v>
      </c>
      <c r="E1176" s="2" t="s">
        <v>6</v>
      </c>
      <c r="F1176" s="24">
        <f>LEN(G1176)</f>
        <v>6</v>
      </c>
      <c r="G1176" s="36" t="s">
        <v>138</v>
      </c>
      <c r="H1176" s="24">
        <v>525</v>
      </c>
      <c r="I1176" s="24">
        <f>I1174</f>
        <v>1850</v>
      </c>
      <c r="J1176" s="24"/>
      <c r="K1176" s="24"/>
      <c r="L1176" s="24"/>
      <c r="M1176" s="24"/>
      <c r="N1176" s="24"/>
      <c r="O1176" s="24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</row>
    <row r="1178" spans="1:28" s="2" customFormat="1">
      <c r="A1178" s="48" t="s">
        <v>383</v>
      </c>
      <c r="B1178" s="1" t="s">
        <v>794</v>
      </c>
      <c r="C1178" s="48"/>
      <c r="D1178" s="48" t="s">
        <v>449</v>
      </c>
      <c r="E1178" s="48">
        <v>52695</v>
      </c>
      <c r="F1178" s="6">
        <v>39622</v>
      </c>
      <c r="G1178" s="6">
        <v>0</v>
      </c>
      <c r="H1178" s="6">
        <v>0</v>
      </c>
      <c r="I1178" s="6">
        <v>0</v>
      </c>
      <c r="J1178" s="6">
        <v>12000</v>
      </c>
      <c r="K1178" s="6">
        <v>3300</v>
      </c>
      <c r="L1178" s="6">
        <v>1920</v>
      </c>
      <c r="M1178" s="6">
        <v>0</v>
      </c>
      <c r="N1178" s="6">
        <v>0</v>
      </c>
      <c r="O1178" s="6" t="e">
        <f ca="1">checksummeint(G1178,H1178,I1178,J1178,K1178,L1178,M1178,N1178)</f>
        <v>#NAME?</v>
      </c>
      <c r="P1178" s="48"/>
      <c r="Q1178" s="48"/>
      <c r="R1178" s="48"/>
      <c r="S1178" s="48"/>
      <c r="T1178" s="49"/>
      <c r="U1178" s="49"/>
    </row>
    <row r="1179" spans="1:28" s="2" customFormat="1">
      <c r="A1179" s="1"/>
      <c r="C1179" s="48"/>
      <c r="D1179" s="48">
        <v>28</v>
      </c>
      <c r="E1179" s="48" t="s">
        <v>12</v>
      </c>
      <c r="F1179" s="6">
        <v>360</v>
      </c>
      <c r="G1179" s="6">
        <v>0</v>
      </c>
      <c r="H1179" s="6">
        <v>0</v>
      </c>
      <c r="I1179" s="6">
        <v>0</v>
      </c>
      <c r="J1179" s="6">
        <v>400</v>
      </c>
      <c r="K1179" s="6">
        <v>0</v>
      </c>
      <c r="L1179" s="6">
        <v>0</v>
      </c>
      <c r="M1179" s="6">
        <v>0</v>
      </c>
      <c r="N1179" s="6">
        <v>0</v>
      </c>
      <c r="O1179" s="6" t="s">
        <v>19</v>
      </c>
      <c r="P1179" s="48"/>
      <c r="Q1179" s="48"/>
      <c r="R1179" s="48"/>
      <c r="S1179" s="48"/>
      <c r="T1179" s="49"/>
      <c r="U1179" s="49"/>
    </row>
    <row r="1180" spans="1:28" s="2" customFormat="1">
      <c r="A1180"/>
      <c r="B1180"/>
      <c r="C1180" s="48"/>
      <c r="D1180" s="48">
        <v>5</v>
      </c>
      <c r="E1180" s="48" t="s">
        <v>59</v>
      </c>
      <c r="F1180" s="6">
        <v>1</v>
      </c>
      <c r="G1180" s="6">
        <v>0</v>
      </c>
      <c r="H1180" s="6"/>
      <c r="I1180" s="6"/>
      <c r="J1180" s="6"/>
      <c r="K1180" s="6"/>
      <c r="L1180" s="6"/>
      <c r="M1180" s="6"/>
      <c r="N1180" s="6"/>
      <c r="O1180" s="6"/>
      <c r="P1180" s="48"/>
      <c r="Q1180" s="48"/>
      <c r="R1180" s="48"/>
      <c r="S1180" s="48"/>
      <c r="T1180" s="49"/>
      <c r="U1180" s="49"/>
    </row>
    <row r="1181" spans="1:28" s="2" customFormat="1">
      <c r="A1181"/>
      <c r="B1181"/>
      <c r="C1181" s="48"/>
      <c r="D1181" s="48">
        <v>8</v>
      </c>
      <c r="E1181" s="48" t="s">
        <v>14</v>
      </c>
      <c r="F1181" s="6">
        <v>0</v>
      </c>
      <c r="G1181" s="6">
        <v>16</v>
      </c>
      <c r="H1181" s="6">
        <v>0</v>
      </c>
      <c r="I1181" s="6">
        <v>0</v>
      </c>
      <c r="J1181" s="6">
        <v>0</v>
      </c>
      <c r="K1181" s="6"/>
      <c r="L1181" s="6"/>
      <c r="M1181" s="44"/>
      <c r="N1181" s="45"/>
      <c r="O1181" s="46"/>
      <c r="P1181" s="48"/>
      <c r="Q1181" s="48"/>
      <c r="R1181" s="48"/>
      <c r="S1181" s="48"/>
      <c r="T1181" s="49"/>
      <c r="U1181" s="49"/>
    </row>
    <row r="1182" spans="1:28" s="2" customFormat="1">
      <c r="A1182"/>
      <c r="B1182"/>
      <c r="C1182" s="48"/>
      <c r="D1182" s="48">
        <v>7</v>
      </c>
      <c r="E1182" s="48" t="s">
        <v>11</v>
      </c>
      <c r="F1182" s="6">
        <v>0</v>
      </c>
      <c r="G1182" s="6">
        <f>256*192+255</f>
        <v>49407</v>
      </c>
      <c r="H1182" s="6">
        <v>192</v>
      </c>
      <c r="I1182" s="6">
        <v>0</v>
      </c>
      <c r="J1182" s="6"/>
      <c r="K1182" s="6"/>
      <c r="L1182" s="6"/>
      <c r="M1182" s="6"/>
      <c r="N1182" s="6"/>
      <c r="O1182" s="6"/>
      <c r="P1182" s="48"/>
      <c r="Q1182" s="48"/>
      <c r="R1182" s="48"/>
      <c r="S1182" s="48"/>
      <c r="T1182" s="49"/>
      <c r="U1182" s="49"/>
    </row>
    <row r="1183" spans="1:28" s="2" customFormat="1">
      <c r="A1183"/>
      <c r="B1183"/>
      <c r="C1183" s="48"/>
      <c r="D1183" s="48">
        <v>7</v>
      </c>
      <c r="E1183" s="48" t="s">
        <v>11</v>
      </c>
      <c r="F1183" s="6">
        <v>0</v>
      </c>
      <c r="G1183" s="6">
        <v>0</v>
      </c>
      <c r="H1183" s="6">
        <v>0</v>
      </c>
      <c r="I1183" s="6">
        <v>0</v>
      </c>
      <c r="J1183" s="6"/>
      <c r="K1183" s="6"/>
      <c r="L1183" s="6"/>
      <c r="M1183" s="6"/>
      <c r="N1183" s="6"/>
      <c r="O1183" s="6"/>
      <c r="P1183" s="48"/>
      <c r="Q1183" s="48"/>
      <c r="R1183" s="48"/>
      <c r="S1183" s="48"/>
      <c r="T1183" s="49"/>
      <c r="U1183" s="49"/>
    </row>
    <row r="1184" spans="1:28" s="2" customFormat="1">
      <c r="A1184"/>
      <c r="B1184"/>
      <c r="C1184" s="48"/>
      <c r="D1184" s="48">
        <v>4</v>
      </c>
      <c r="E1184" s="48" t="s">
        <v>15</v>
      </c>
      <c r="F1184" s="6">
        <v>0</v>
      </c>
      <c r="G1184" s="50"/>
      <c r="H1184" s="6"/>
      <c r="I1184" s="6"/>
      <c r="J1184" s="6"/>
      <c r="K1184" s="6"/>
      <c r="L1184" s="6"/>
      <c r="M1184" s="6"/>
      <c r="N1184" s="6"/>
      <c r="O1184" s="6"/>
      <c r="P1184" s="48"/>
      <c r="Q1184" s="48"/>
      <c r="R1184" s="48"/>
      <c r="S1184" s="48"/>
      <c r="T1184" s="49"/>
      <c r="U1184" s="49"/>
    </row>
    <row r="1185" spans="1:23" s="2" customFormat="1">
      <c r="A1185"/>
      <c r="B1185"/>
      <c r="C1185" s="48"/>
      <c r="D1185" s="48">
        <v>4</v>
      </c>
      <c r="E1185" s="48" t="s">
        <v>15</v>
      </c>
      <c r="F1185" s="6">
        <v>1</v>
      </c>
      <c r="G1185" s="6"/>
      <c r="H1185" s="6"/>
      <c r="I1185" s="6"/>
      <c r="J1185" s="6"/>
      <c r="K1185" s="6"/>
      <c r="L1185" s="6"/>
      <c r="M1185" s="6"/>
      <c r="N1185" s="6"/>
      <c r="O1185" s="6"/>
      <c r="P1185" s="48"/>
      <c r="Q1185" s="48"/>
      <c r="R1185" s="48"/>
      <c r="S1185" s="48"/>
      <c r="T1185" s="49"/>
      <c r="U1185" s="49"/>
    </row>
    <row r="1186" spans="1:23" s="2" customFormat="1">
      <c r="A1186"/>
      <c r="B1186"/>
      <c r="C1186" s="48"/>
      <c r="D1186" s="48">
        <v>4</v>
      </c>
      <c r="E1186" s="48" t="s">
        <v>15</v>
      </c>
      <c r="F1186" s="6">
        <v>3</v>
      </c>
      <c r="G1186" s="50"/>
      <c r="H1186" s="6"/>
      <c r="I1186" s="6"/>
      <c r="J1186" s="6"/>
      <c r="K1186" s="6"/>
      <c r="L1186" s="6"/>
      <c r="M1186" s="6"/>
      <c r="N1186" s="6"/>
      <c r="O1186" s="6"/>
      <c r="P1186" s="48"/>
      <c r="Q1186" s="48"/>
      <c r="R1186" s="48"/>
      <c r="S1186" s="48"/>
      <c r="T1186" s="49"/>
      <c r="U1186" s="49"/>
    </row>
    <row r="1187" spans="1:23" s="2" customFormat="1">
      <c r="A1187"/>
      <c r="B1187"/>
      <c r="C1187" s="48"/>
      <c r="D1187" s="48">
        <f>ROUNDUP(6+F1187/2,0)</f>
        <v>22</v>
      </c>
      <c r="E1187" s="48" t="s">
        <v>6</v>
      </c>
      <c r="F1187" s="6">
        <f>LEN(G1187)</f>
        <v>31</v>
      </c>
      <c r="G1187" s="50" t="s">
        <v>139</v>
      </c>
      <c r="H1187" s="6">
        <v>0</v>
      </c>
      <c r="I1187" s="6">
        <f>G1189</f>
        <v>500</v>
      </c>
      <c r="J1187" s="6"/>
      <c r="K1187" s="6"/>
      <c r="L1187" s="6"/>
      <c r="M1187" s="6"/>
      <c r="N1187" s="6"/>
      <c r="O1187" s="6"/>
      <c r="P1187" s="48"/>
      <c r="Q1187" s="48"/>
      <c r="R1187" s="48"/>
      <c r="S1187" s="48"/>
      <c r="T1187" s="49"/>
      <c r="U1187" s="49"/>
    </row>
    <row r="1188" spans="1:23" s="2" customFormat="1">
      <c r="A1188"/>
      <c r="B1188"/>
      <c r="C1188" s="48"/>
      <c r="D1188" s="48">
        <f>ROUNDUP(6+F1188/2,0)</f>
        <v>22</v>
      </c>
      <c r="E1188" s="48" t="s">
        <v>6</v>
      </c>
      <c r="F1188" s="6">
        <f>LEN(G1188)</f>
        <v>32</v>
      </c>
      <c r="G1188" s="50" t="s">
        <v>140</v>
      </c>
      <c r="H1188" s="6">
        <v>0</v>
      </c>
      <c r="I1188" s="6">
        <f>G1192</f>
        <v>6700</v>
      </c>
      <c r="J1188" s="6"/>
      <c r="K1188" s="6"/>
      <c r="L1188" s="6"/>
      <c r="M1188" s="6"/>
      <c r="N1188" s="6"/>
      <c r="O1188" s="6"/>
      <c r="P1188" s="48"/>
      <c r="Q1188" s="48"/>
      <c r="R1188" s="48"/>
      <c r="S1188" s="48"/>
      <c r="T1188" s="49"/>
      <c r="U1188" s="49"/>
    </row>
    <row r="1189" spans="1:23" s="2" customFormat="1">
      <c r="A1189"/>
      <c r="B1189"/>
      <c r="C1189" s="48"/>
      <c r="D1189" s="48"/>
      <c r="E1189" s="48" t="s">
        <v>113</v>
      </c>
      <c r="F1189" s="6">
        <v>200</v>
      </c>
      <c r="G1189" s="50">
        <v>500</v>
      </c>
      <c r="H1189" s="50">
        <f>J1189+70*25</f>
        <v>2750</v>
      </c>
      <c r="I1189" s="50">
        <f>G1189+360*12.5</f>
        <v>5000</v>
      </c>
      <c r="J1189" s="50">
        <v>1000</v>
      </c>
      <c r="K1189" s="50" t="s">
        <v>143</v>
      </c>
      <c r="L1189" s="50">
        <v>4</v>
      </c>
      <c r="M1189" s="49">
        <v>0</v>
      </c>
      <c r="N1189" s="49">
        <v>3</v>
      </c>
      <c r="O1189" s="49">
        <v>0</v>
      </c>
      <c r="P1189" s="49">
        <v>0</v>
      </c>
      <c r="Q1189" s="49">
        <v>3</v>
      </c>
      <c r="R1189" s="49">
        <v>0</v>
      </c>
      <c r="S1189" s="49">
        <v>0</v>
      </c>
      <c r="T1189" s="49">
        <v>0</v>
      </c>
      <c r="U1189" s="48">
        <v>360</v>
      </c>
    </row>
    <row r="1190" spans="1:23" s="2" customFormat="1">
      <c r="A1190"/>
      <c r="B1190"/>
      <c r="C1190" s="48"/>
      <c r="D1190" s="48">
        <v>7</v>
      </c>
      <c r="E1190" s="48" t="s">
        <v>11</v>
      </c>
      <c r="F1190" s="6">
        <v>0</v>
      </c>
      <c r="G1190" s="6">
        <f>257*192</f>
        <v>49344</v>
      </c>
      <c r="H1190" s="6">
        <v>255</v>
      </c>
      <c r="I1190" s="6">
        <v>0</v>
      </c>
      <c r="J1190" s="6"/>
      <c r="K1190" s="50" t="s">
        <v>144</v>
      </c>
      <c r="L1190" s="50">
        <v>5</v>
      </c>
      <c r="M1190" s="49"/>
      <c r="N1190" s="48"/>
      <c r="O1190" s="49"/>
      <c r="P1190" s="49"/>
      <c r="Q1190" s="50">
        <v>2</v>
      </c>
      <c r="R1190" s="49"/>
      <c r="S1190" s="49">
        <v>0</v>
      </c>
      <c r="T1190" s="49">
        <v>70</v>
      </c>
      <c r="U1190" s="48">
        <v>70</v>
      </c>
    </row>
    <row r="1191" spans="1:23" s="2" customFormat="1">
      <c r="A1191"/>
      <c r="B1191"/>
      <c r="C1191" s="48"/>
      <c r="D1191" s="48">
        <v>4</v>
      </c>
      <c r="E1191" s="48" t="s">
        <v>15</v>
      </c>
      <c r="F1191" s="6">
        <v>3</v>
      </c>
      <c r="G1191" s="50"/>
      <c r="H1191" s="6"/>
      <c r="I1191" s="6"/>
      <c r="J1191" s="6"/>
      <c r="K1191" s="50"/>
      <c r="L1191" s="50"/>
      <c r="M1191" s="49"/>
      <c r="N1191" s="48"/>
      <c r="O1191" s="49"/>
      <c r="P1191" s="49"/>
      <c r="Q1191" s="6"/>
      <c r="R1191" s="49"/>
      <c r="S1191" s="49"/>
      <c r="T1191" s="49"/>
      <c r="U1191" s="48"/>
    </row>
    <row r="1192" spans="1:23" s="2" customFormat="1">
      <c r="A1192"/>
      <c r="B1192"/>
      <c r="C1192" s="48"/>
      <c r="D1192" s="48"/>
      <c r="E1192" s="48" t="s">
        <v>113</v>
      </c>
      <c r="F1192" s="6">
        <v>200</v>
      </c>
      <c r="G1192" s="50">
        <v>6700</v>
      </c>
      <c r="H1192" s="50">
        <f>J1192+78*25</f>
        <v>2750</v>
      </c>
      <c r="I1192" s="50">
        <f>G1192+341.6*12.5</f>
        <v>10970</v>
      </c>
      <c r="J1192" s="50">
        <v>800</v>
      </c>
      <c r="K1192" s="50" t="s">
        <v>143</v>
      </c>
      <c r="L1192" s="50">
        <v>4</v>
      </c>
      <c r="M1192" s="49"/>
      <c r="N1192" s="49">
        <v>3</v>
      </c>
      <c r="O1192" s="49"/>
      <c r="P1192" s="49"/>
      <c r="Q1192" s="6">
        <v>3</v>
      </c>
      <c r="R1192" s="49"/>
      <c r="S1192" s="49">
        <v>0</v>
      </c>
      <c r="T1192" s="49">
        <v>0</v>
      </c>
      <c r="U1192" s="48">
        <v>341.6</v>
      </c>
    </row>
    <row r="1193" spans="1:23" s="2" customFormat="1">
      <c r="A1193"/>
      <c r="B1193"/>
      <c r="C1193" s="48"/>
      <c r="E1193" s="48"/>
      <c r="F1193" s="6"/>
      <c r="G1193" s="50"/>
      <c r="H1193" s="6"/>
      <c r="I1193" s="6"/>
      <c r="J1193" s="6"/>
      <c r="K1193" s="50" t="s">
        <v>145</v>
      </c>
      <c r="L1193" s="50">
        <v>5</v>
      </c>
      <c r="M1193" s="6"/>
      <c r="N1193" s="6"/>
      <c r="O1193" s="6"/>
      <c r="P1193" s="48"/>
      <c r="Q1193" s="50">
        <v>4</v>
      </c>
      <c r="R1193" s="49"/>
      <c r="S1193" s="49">
        <v>0</v>
      </c>
      <c r="T1193" s="49">
        <v>78</v>
      </c>
      <c r="U1193" s="48">
        <v>78</v>
      </c>
    </row>
    <row r="1194" spans="1:23" s="49" customFormat="1">
      <c r="A1194" s="48"/>
      <c r="B1194" s="48"/>
      <c r="C1194" s="48"/>
      <c r="D1194" s="48" t="s">
        <v>146</v>
      </c>
      <c r="E1194" s="48"/>
      <c r="F1194" s="6"/>
      <c r="G1194" s="50"/>
      <c r="H1194" s="6"/>
      <c r="I1194" s="6"/>
      <c r="J1194" s="6"/>
      <c r="K1194" s="50"/>
      <c r="L1194" s="50"/>
      <c r="M1194" s="6"/>
      <c r="N1194" s="6"/>
      <c r="O1194" s="6"/>
      <c r="P1194" s="48"/>
      <c r="Q1194" s="50"/>
      <c r="U1194" s="48"/>
    </row>
    <row r="1195" spans="1:23" s="2" customFormat="1">
      <c r="A1195"/>
      <c r="B1195"/>
      <c r="C1195"/>
      <c r="D1195"/>
      <c r="E1195" t="s">
        <v>113</v>
      </c>
      <c r="F1195" s="6">
        <v>200</v>
      </c>
      <c r="G1195" s="24">
        <v>1000</v>
      </c>
      <c r="H1195" s="24">
        <f>J1195+1875</f>
        <v>2775</v>
      </c>
      <c r="I1195" s="24">
        <f>G1195+360*7.5</f>
        <v>3700</v>
      </c>
      <c r="J1195" s="24">
        <v>900</v>
      </c>
      <c r="K1195" s="24" t="s">
        <v>22</v>
      </c>
      <c r="L1195" s="24">
        <v>4</v>
      </c>
      <c r="N1195" s="2">
        <v>3</v>
      </c>
      <c r="Q1195" s="50">
        <v>3</v>
      </c>
      <c r="S1195" s="2">
        <v>0</v>
      </c>
      <c r="T1195" s="2">
        <v>0</v>
      </c>
      <c r="U1195">
        <v>360</v>
      </c>
    </row>
    <row r="1196" spans="1:23" s="2" customFormat="1">
      <c r="A1196"/>
      <c r="B1196"/>
      <c r="C1196"/>
      <c r="D1196">
        <v>7</v>
      </c>
      <c r="E1196" t="s">
        <v>11</v>
      </c>
      <c r="F1196" s="6">
        <v>0</v>
      </c>
      <c r="G1196" s="6">
        <f>257*192</f>
        <v>49344</v>
      </c>
      <c r="H1196" s="6">
        <v>255</v>
      </c>
      <c r="I1196" s="6">
        <v>0</v>
      </c>
      <c r="J1196" s="6"/>
      <c r="K1196" s="24" t="s">
        <v>141</v>
      </c>
      <c r="L1196" s="24">
        <v>5</v>
      </c>
      <c r="N1196"/>
      <c r="Q1196" s="24">
        <v>2</v>
      </c>
      <c r="S1196" s="2">
        <v>0</v>
      </c>
      <c r="T1196" s="2">
        <v>187.5</v>
      </c>
      <c r="U1196">
        <v>187.5</v>
      </c>
    </row>
    <row r="1197" spans="1:23" s="2" customFormat="1">
      <c r="A1197"/>
      <c r="B1197"/>
      <c r="C1197"/>
      <c r="D1197">
        <v>4</v>
      </c>
      <c r="E1197" t="s">
        <v>15</v>
      </c>
      <c r="F1197" s="6">
        <v>3</v>
      </c>
      <c r="G1197" s="24"/>
      <c r="H1197" s="6"/>
      <c r="I1197" s="6"/>
      <c r="J1197" s="6"/>
      <c r="K1197" s="24"/>
      <c r="L1197" s="6"/>
      <c r="N1197"/>
      <c r="Q1197" s="6"/>
      <c r="U1197"/>
    </row>
    <row r="1198" spans="1:23" s="2" customFormat="1">
      <c r="A1198"/>
      <c r="B1198"/>
      <c r="C1198"/>
      <c r="D1198"/>
      <c r="E1198" t="s">
        <v>113</v>
      </c>
      <c r="F1198" s="6">
        <v>200</v>
      </c>
      <c r="G1198" s="24">
        <v>5500</v>
      </c>
      <c r="H1198" s="24">
        <f>J1198+1560</f>
        <v>2775</v>
      </c>
      <c r="I1198" s="24">
        <f>G1198+750*7.5</f>
        <v>11125</v>
      </c>
      <c r="J1198" s="24">
        <v>1215</v>
      </c>
      <c r="K1198" s="24" t="s">
        <v>22</v>
      </c>
      <c r="L1198" s="24">
        <v>4</v>
      </c>
      <c r="N1198" s="2">
        <v>5</v>
      </c>
      <c r="Q1198" s="6">
        <v>3</v>
      </c>
      <c r="S1198" s="2">
        <v>0</v>
      </c>
      <c r="T1198" s="2">
        <v>0</v>
      </c>
      <c r="U1198">
        <v>375</v>
      </c>
      <c r="V1198" s="2">
        <v>375</v>
      </c>
      <c r="W1198">
        <v>750</v>
      </c>
    </row>
    <row r="1199" spans="1:23" s="2" customFormat="1">
      <c r="A1199"/>
      <c r="B1199"/>
      <c r="C1199"/>
      <c r="E1199"/>
      <c r="F1199" s="6"/>
      <c r="G1199" s="24"/>
      <c r="H1199" s="6"/>
      <c r="I1199" s="6"/>
      <c r="J1199" s="6"/>
      <c r="K1199" s="24" t="s">
        <v>142</v>
      </c>
      <c r="L1199" s="24">
        <v>4</v>
      </c>
      <c r="N1199"/>
      <c r="Q1199" s="24">
        <v>4</v>
      </c>
      <c r="S1199" s="2">
        <v>0</v>
      </c>
      <c r="T1199" s="2">
        <v>78</v>
      </c>
      <c r="U1199">
        <v>78</v>
      </c>
      <c r="V1199" s="2">
        <v>156</v>
      </c>
      <c r="W1199">
        <v>156</v>
      </c>
    </row>
    <row r="1200" spans="1:23" s="49" customFormat="1">
      <c r="A1200" s="48"/>
      <c r="B1200" s="48"/>
      <c r="C1200" s="48"/>
      <c r="D1200" t="s">
        <v>146</v>
      </c>
      <c r="E1200" s="48"/>
      <c r="F1200" s="6"/>
      <c r="G1200" s="50"/>
      <c r="H1200" s="6"/>
      <c r="I1200" s="6"/>
      <c r="J1200" s="6"/>
      <c r="K1200" s="50"/>
      <c r="L1200" s="50"/>
      <c r="N1200" s="48"/>
      <c r="Q1200" s="50"/>
      <c r="U1200" s="48"/>
      <c r="W1200" s="48"/>
    </row>
    <row r="1201" spans="1:21">
      <c r="E1201" t="s">
        <v>113</v>
      </c>
      <c r="F1201" s="6">
        <v>200</v>
      </c>
      <c r="G1201" s="24">
        <v>700</v>
      </c>
      <c r="H1201" s="24">
        <v>2850</v>
      </c>
      <c r="I1201" s="24">
        <f>G1201+200*U1201</f>
        <v>5748.8</v>
      </c>
      <c r="J1201" s="24">
        <f>H1201-300*U1202</f>
        <v>1770</v>
      </c>
      <c r="K1201" s="24" t="s">
        <v>143</v>
      </c>
      <c r="L1201" s="24">
        <v>2</v>
      </c>
      <c r="N1201" s="2">
        <v>3</v>
      </c>
      <c r="Q1201" s="50">
        <v>3</v>
      </c>
      <c r="S1201" s="2">
        <v>0</v>
      </c>
      <c r="T1201" s="2">
        <f>(2-2*0.82803)*U1201</f>
        <v>8.6824213599999975</v>
      </c>
      <c r="U1201">
        <f>1.2622*20</f>
        <v>25.244</v>
      </c>
    </row>
    <row r="1202" spans="1:21">
      <c r="D1202">
        <v>7</v>
      </c>
      <c r="E1202" t="s">
        <v>11</v>
      </c>
      <c r="F1202" s="6">
        <v>0</v>
      </c>
      <c r="G1202" s="6">
        <f>257*192</f>
        <v>49344</v>
      </c>
      <c r="H1202" s="6">
        <v>255</v>
      </c>
      <c r="I1202" s="6">
        <v>0</v>
      </c>
      <c r="K1202" s="24" t="s">
        <v>147</v>
      </c>
      <c r="L1202" s="24">
        <v>4</v>
      </c>
      <c r="N1202"/>
      <c r="Q1202" s="24">
        <v>2</v>
      </c>
      <c r="S1202" s="2">
        <v>0</v>
      </c>
      <c r="T1202" s="2">
        <f>U1202</f>
        <v>3.5999999999999996</v>
      </c>
      <c r="U1202">
        <f>0.18*20</f>
        <v>3.5999999999999996</v>
      </c>
    </row>
    <row r="1203" spans="1:21">
      <c r="D1203">
        <v>4</v>
      </c>
      <c r="E1203" t="s">
        <v>15</v>
      </c>
      <c r="F1203" s="6">
        <v>3</v>
      </c>
      <c r="G1203" s="24"/>
      <c r="K1203" s="24"/>
      <c r="N1203"/>
      <c r="Q1203" s="6"/>
      <c r="S1203" s="2"/>
      <c r="T1203" s="2"/>
    </row>
    <row r="1204" spans="1:21">
      <c r="E1204" t="s">
        <v>113</v>
      </c>
      <c r="F1204" s="6">
        <v>200</v>
      </c>
      <c r="G1204" s="24">
        <v>7500</v>
      </c>
      <c r="H1204" s="24">
        <f>H1201</f>
        <v>2850</v>
      </c>
      <c r="I1204" s="24">
        <f>G1204+200*U1204</f>
        <v>10380</v>
      </c>
      <c r="J1204" s="24">
        <f>H1204-300*U1205</f>
        <v>690</v>
      </c>
      <c r="K1204" s="24" t="s">
        <v>143</v>
      </c>
      <c r="L1204" s="24">
        <v>4</v>
      </c>
      <c r="N1204" s="2">
        <v>3</v>
      </c>
      <c r="Q1204" s="6">
        <v>3</v>
      </c>
      <c r="S1204" s="2">
        <v>0</v>
      </c>
      <c r="T1204" s="2">
        <f>(2-2*0.65312)*U1204</f>
        <v>9.9901439999999972</v>
      </c>
      <c r="U1204">
        <f>0.24*60</f>
        <v>14.399999999999999</v>
      </c>
    </row>
    <row r="1205" spans="1:21">
      <c r="G1205" s="24"/>
      <c r="K1205" s="24" t="s">
        <v>148</v>
      </c>
      <c r="L1205" s="24">
        <v>4</v>
      </c>
      <c r="Q1205" s="24">
        <v>4</v>
      </c>
      <c r="S1205" s="2">
        <v>0</v>
      </c>
      <c r="T1205" s="2">
        <f>U1205</f>
        <v>7.1999999999999993</v>
      </c>
      <c r="U1205">
        <f>0.12*60</f>
        <v>7.1999999999999993</v>
      </c>
    </row>
    <row r="1206" spans="1:21">
      <c r="A1206" s="1" t="s">
        <v>162</v>
      </c>
      <c r="D1206" s="2">
        <f>ROUNDUP(6+F1206/2,0)</f>
        <v>13</v>
      </c>
      <c r="E1206" s="2" t="s">
        <v>6</v>
      </c>
      <c r="F1206" s="24">
        <f>LEN(G1206)</f>
        <v>14</v>
      </c>
      <c r="G1206" s="24" t="s">
        <v>150</v>
      </c>
      <c r="H1206" s="33">
        <v>150</v>
      </c>
      <c r="I1206" s="33">
        <v>1100</v>
      </c>
    </row>
    <row r="1207" spans="1:21">
      <c r="A1207" s="1" t="s">
        <v>153</v>
      </c>
      <c r="B1207" s="14"/>
      <c r="C1207" s="13"/>
      <c r="D1207" s="13">
        <v>11</v>
      </c>
      <c r="E1207" s="13" t="s">
        <v>98</v>
      </c>
      <c r="F1207" s="34">
        <f>H1207+500</f>
        <v>800</v>
      </c>
      <c r="G1207" s="34">
        <f>I1207-1024</f>
        <v>-24</v>
      </c>
      <c r="H1207" s="34">
        <f>H1206+150</f>
        <v>300</v>
      </c>
      <c r="I1207" s="34">
        <f>I1206-100</f>
        <v>1000</v>
      </c>
      <c r="J1207" s="38">
        <f>2*F1207-H1207</f>
        <v>1300</v>
      </c>
      <c r="K1207" s="38">
        <f>G1207</f>
        <v>-24</v>
      </c>
      <c r="L1207" s="38">
        <f>H1207</f>
        <v>300</v>
      </c>
      <c r="M1207" s="38">
        <f>2*I1207-G1207</f>
        <v>2024</v>
      </c>
    </row>
    <row r="1208" spans="1:21">
      <c r="A1208" s="13"/>
      <c r="B1208" s="13"/>
      <c r="C1208" s="13"/>
      <c r="D1208" s="13">
        <v>11</v>
      </c>
      <c r="E1208" s="13" t="s">
        <v>98</v>
      </c>
      <c r="F1208" s="24">
        <f>H1207</f>
        <v>300</v>
      </c>
      <c r="G1208" s="24">
        <f>I1208-1024</f>
        <v>2976</v>
      </c>
      <c r="H1208" s="34">
        <f>F1207</f>
        <v>800</v>
      </c>
      <c r="I1208" s="35">
        <f>I1206+2900</f>
        <v>4000</v>
      </c>
      <c r="J1208" s="38">
        <f>J1207</f>
        <v>1300</v>
      </c>
      <c r="K1208" s="38">
        <f>G1208*2-I1208</f>
        <v>1952</v>
      </c>
      <c r="L1208" s="39">
        <f>L1207</f>
        <v>300</v>
      </c>
      <c r="M1208" s="38">
        <f>I1208</f>
        <v>4000</v>
      </c>
    </row>
    <row r="1209" spans="1:21">
      <c r="D1209" s="2">
        <f>F1209*2+4</f>
        <v>10</v>
      </c>
      <c r="E1209" s="2" t="s">
        <v>4</v>
      </c>
      <c r="F1209" s="24">
        <v>3</v>
      </c>
      <c r="G1209" s="24">
        <f>G1207</f>
        <v>-24</v>
      </c>
      <c r="H1209" s="24">
        <f>F1207+200</f>
        <v>1000</v>
      </c>
      <c r="I1209" s="24">
        <f>G1209-100</f>
        <v>-124</v>
      </c>
      <c r="J1209" s="24">
        <f>F1207</f>
        <v>800</v>
      </c>
      <c r="K1209" s="24">
        <f>G1209+100</f>
        <v>76</v>
      </c>
      <c r="L1209" s="24">
        <f>J1209</f>
        <v>800</v>
      </c>
    </row>
    <row r="1210" spans="1:21">
      <c r="D1210" s="2">
        <f>F1210*2+4</f>
        <v>10</v>
      </c>
      <c r="E1210" s="2" t="s">
        <v>4</v>
      </c>
      <c r="F1210" s="24">
        <v>3</v>
      </c>
      <c r="G1210" s="24">
        <f>I1208</f>
        <v>4000</v>
      </c>
      <c r="H1210" s="24">
        <f>H1208+200</f>
        <v>1000</v>
      </c>
      <c r="I1210" s="24">
        <f>G1210-100</f>
        <v>3900</v>
      </c>
      <c r="J1210" s="24">
        <f>H1208</f>
        <v>800</v>
      </c>
      <c r="K1210" s="24">
        <f>G1210+100</f>
        <v>4100</v>
      </c>
      <c r="L1210" s="24">
        <f>J1210</f>
        <v>800</v>
      </c>
      <c r="M1210" s="24"/>
    </row>
    <row r="1211" spans="1:21">
      <c r="D1211" s="2">
        <f>ROUNDUP(6+F1211/2,0)</f>
        <v>7</v>
      </c>
      <c r="E1211" s="2" t="s">
        <v>6</v>
      </c>
      <c r="F1211" s="24">
        <f>LEN(G1211)</f>
        <v>2</v>
      </c>
      <c r="G1211" s="36" t="s">
        <v>151</v>
      </c>
      <c r="H1211" s="24">
        <f>H1206-150</f>
        <v>0</v>
      </c>
      <c r="I1211" s="24">
        <f>I1206-768</f>
        <v>332</v>
      </c>
      <c r="J1211" s="24"/>
      <c r="K1211" s="24"/>
      <c r="L1211" s="24"/>
    </row>
    <row r="1212" spans="1:21">
      <c r="A1212" s="13"/>
      <c r="B1212" s="14"/>
      <c r="C1212" s="13"/>
      <c r="D1212" s="2">
        <f>ROUNDUP(6+F1212/2,0)</f>
        <v>8</v>
      </c>
      <c r="E1212" s="2" t="s">
        <v>6</v>
      </c>
      <c r="F1212" s="24">
        <f>LEN(G1212)</f>
        <v>4</v>
      </c>
      <c r="G1212" s="36" t="s">
        <v>152</v>
      </c>
      <c r="H1212" s="24">
        <f>H1211</f>
        <v>0</v>
      </c>
      <c r="I1212" s="24">
        <f>G1208+400</f>
        <v>3376</v>
      </c>
      <c r="K1212" s="24"/>
      <c r="L1212" s="24"/>
      <c r="M1212" s="38"/>
    </row>
    <row r="1213" spans="1:21">
      <c r="A1213" s="16" t="s">
        <v>41</v>
      </c>
      <c r="B1213" s="14"/>
      <c r="C1213" s="13"/>
      <c r="D1213" s="2">
        <v>7</v>
      </c>
      <c r="E1213" s="2" t="s">
        <v>5</v>
      </c>
      <c r="F1213" s="24">
        <f>H1213+400</f>
        <v>550</v>
      </c>
      <c r="G1213" s="24">
        <f>G1208</f>
        <v>2976</v>
      </c>
      <c r="H1213" s="36">
        <f>H1206</f>
        <v>150</v>
      </c>
      <c r="I1213" s="36">
        <f>I1207</f>
        <v>1000</v>
      </c>
      <c r="J1213" s="38"/>
      <c r="K1213" s="38"/>
      <c r="L1213" s="38"/>
      <c r="M1213" s="38"/>
    </row>
    <row r="1216" spans="1:21">
      <c r="A1216" s="48" t="s">
        <v>383</v>
      </c>
      <c r="B1216" s="1" t="s">
        <v>149</v>
      </c>
      <c r="D1216" t="s">
        <v>449</v>
      </c>
      <c r="E1216">
        <v>52695</v>
      </c>
      <c r="F1216" s="6">
        <v>39622</v>
      </c>
      <c r="G1216" s="6">
        <v>0</v>
      </c>
      <c r="H1216" s="6">
        <v>0</v>
      </c>
      <c r="I1216" s="6">
        <v>0</v>
      </c>
      <c r="J1216" s="6">
        <v>8300</v>
      </c>
      <c r="K1216" s="6">
        <v>5600</v>
      </c>
      <c r="L1216" s="6">
        <v>1920</v>
      </c>
      <c r="M1216" s="6">
        <v>0</v>
      </c>
      <c r="N1216" s="6">
        <v>0</v>
      </c>
      <c r="O1216" s="6" t="e">
        <f ca="1">checksummeint(G1216,H1216,I1216,J1216,K1216,L1216,M1216,N1216)</f>
        <v>#NAME?</v>
      </c>
    </row>
    <row r="1217" spans="1:15">
      <c r="A1217" s="1"/>
      <c r="D1217">
        <v>28</v>
      </c>
      <c r="E1217" t="s">
        <v>12</v>
      </c>
      <c r="F1217" s="6">
        <v>360</v>
      </c>
      <c r="G1217" s="6">
        <v>0</v>
      </c>
      <c r="H1217" s="6">
        <v>0</v>
      </c>
      <c r="I1217" s="6">
        <v>0</v>
      </c>
      <c r="J1217" s="6">
        <v>400</v>
      </c>
      <c r="K1217" s="6">
        <v>0</v>
      </c>
      <c r="L1217" s="6">
        <v>0</v>
      </c>
      <c r="M1217" s="6">
        <v>0</v>
      </c>
      <c r="N1217" s="6">
        <v>0</v>
      </c>
      <c r="O1217" s="6" t="s">
        <v>19</v>
      </c>
    </row>
    <row r="1218" spans="1:15">
      <c r="D1218">
        <v>5</v>
      </c>
      <c r="E1218" t="s">
        <v>59</v>
      </c>
      <c r="F1218" s="6">
        <v>1</v>
      </c>
      <c r="G1218" s="6">
        <v>0</v>
      </c>
    </row>
    <row r="1219" spans="1:15">
      <c r="D1219">
        <v>8</v>
      </c>
      <c r="E1219" t="s">
        <v>14</v>
      </c>
      <c r="F1219" s="6">
        <v>0</v>
      </c>
      <c r="G1219" s="6">
        <v>16</v>
      </c>
      <c r="H1219" s="6">
        <v>0</v>
      </c>
      <c r="I1219" s="6">
        <v>0</v>
      </c>
      <c r="J1219" s="6">
        <v>0</v>
      </c>
      <c r="M1219" s="44"/>
      <c r="N1219" s="45"/>
      <c r="O1219" s="46"/>
    </row>
    <row r="1220" spans="1:15">
      <c r="D1220">
        <v>7</v>
      </c>
      <c r="E1220" t="s">
        <v>11</v>
      </c>
      <c r="F1220" s="6">
        <v>1</v>
      </c>
      <c r="G1220" s="24">
        <v>0</v>
      </c>
      <c r="H1220" s="24">
        <v>0</v>
      </c>
      <c r="I1220" s="6">
        <v>0</v>
      </c>
    </row>
    <row r="1221" spans="1:15">
      <c r="D1221">
        <v>7</v>
      </c>
      <c r="E1221" t="s">
        <v>11</v>
      </c>
      <c r="F1221" s="6">
        <v>0</v>
      </c>
      <c r="G1221" s="6">
        <v>0</v>
      </c>
      <c r="H1221" s="6">
        <v>0</v>
      </c>
      <c r="I1221" s="6">
        <v>0</v>
      </c>
    </row>
    <row r="1222" spans="1:15">
      <c r="D1222">
        <v>4</v>
      </c>
      <c r="E1222" t="s">
        <v>15</v>
      </c>
      <c r="F1222" s="6">
        <v>0</v>
      </c>
      <c r="G1222" s="24"/>
    </row>
    <row r="1223" spans="1:15">
      <c r="D1223">
        <v>4</v>
      </c>
      <c r="E1223" t="s">
        <v>15</v>
      </c>
      <c r="F1223" s="6">
        <v>1</v>
      </c>
    </row>
    <row r="1224" spans="1:15">
      <c r="D1224">
        <v>4</v>
      </c>
      <c r="E1224" t="s">
        <v>15</v>
      </c>
      <c r="F1224" s="6">
        <v>2</v>
      </c>
      <c r="G1224" s="24"/>
    </row>
    <row r="1225" spans="1:15">
      <c r="D1225" s="2">
        <v>7</v>
      </c>
      <c r="E1225" s="2" t="s">
        <v>5</v>
      </c>
      <c r="F1225" s="24">
        <f>H1225+400</f>
        <v>550</v>
      </c>
      <c r="G1225" s="24">
        <f>G1233</f>
        <v>2976</v>
      </c>
      <c r="H1225" s="36">
        <f>H1231</f>
        <v>150</v>
      </c>
      <c r="I1225" s="36">
        <f>I1232</f>
        <v>1000</v>
      </c>
    </row>
    <row r="1226" spans="1:15">
      <c r="A1226" s="1"/>
      <c r="D1226" s="2">
        <v>7</v>
      </c>
      <c r="E1226" s="2" t="s">
        <v>5</v>
      </c>
      <c r="F1226" s="24">
        <f>H1226+400</f>
        <v>1574</v>
      </c>
      <c r="G1226" s="24">
        <f>G1239</f>
        <v>4776</v>
      </c>
      <c r="H1226" s="24">
        <f>H1237</f>
        <v>1174</v>
      </c>
      <c r="I1226" s="24">
        <f>I1238</f>
        <v>3100</v>
      </c>
      <c r="J1226" s="24"/>
      <c r="K1226" s="24"/>
      <c r="L1226" s="24"/>
      <c r="M1226" s="24"/>
    </row>
    <row r="1227" spans="1:15">
      <c r="A1227" s="13"/>
      <c r="B1227" s="14"/>
      <c r="C1227" s="13"/>
      <c r="D1227" s="2">
        <v>7</v>
      </c>
      <c r="E1227" s="2" t="s">
        <v>5</v>
      </c>
      <c r="F1227" s="24">
        <f>H1227+400</f>
        <v>2598</v>
      </c>
      <c r="G1227" s="24">
        <f>G1246</f>
        <v>6676</v>
      </c>
      <c r="H1227" s="24">
        <f>H1244</f>
        <v>2198</v>
      </c>
      <c r="I1227" s="24">
        <f>I1245</f>
        <v>5000</v>
      </c>
      <c r="J1227" s="24"/>
      <c r="K1227" s="24"/>
      <c r="L1227" s="24"/>
      <c r="M1227" s="24"/>
      <c r="N1227" s="35"/>
      <c r="O1227" s="35"/>
    </row>
    <row r="1228" spans="1:15">
      <c r="A1228" s="13"/>
      <c r="B1228" s="13"/>
      <c r="C1228" s="13"/>
      <c r="D1228" s="2">
        <v>7</v>
      </c>
      <c r="E1228" s="2" t="s">
        <v>5</v>
      </c>
      <c r="F1228" s="24">
        <f>H1228+400</f>
        <v>3622</v>
      </c>
      <c r="G1228" s="24">
        <f>G1253</f>
        <v>4676</v>
      </c>
      <c r="H1228" s="24">
        <f>H1251</f>
        <v>3222</v>
      </c>
      <c r="I1228" s="24">
        <f>I1252</f>
        <v>3400</v>
      </c>
      <c r="J1228" s="24"/>
      <c r="K1228" s="24"/>
      <c r="L1228" s="24"/>
      <c r="M1228" s="24"/>
      <c r="N1228" s="24"/>
      <c r="O1228" s="38"/>
    </row>
    <row r="1229" spans="1:15">
      <c r="D1229" s="2">
        <v>7</v>
      </c>
      <c r="E1229" s="2" t="s">
        <v>5</v>
      </c>
      <c r="F1229" s="24">
        <f>H1229+400</f>
        <v>4646</v>
      </c>
      <c r="G1229" s="24">
        <f>G1260</f>
        <v>6176</v>
      </c>
      <c r="H1229" s="24">
        <f>H1258</f>
        <v>4246</v>
      </c>
      <c r="I1229" s="24">
        <f>I1259</f>
        <v>5300</v>
      </c>
      <c r="J1229" s="24"/>
      <c r="K1229" s="24"/>
      <c r="L1229" s="24"/>
      <c r="M1229" s="24"/>
      <c r="N1229" s="38"/>
    </row>
    <row r="1230" spans="1:15">
      <c r="D1230">
        <v>4</v>
      </c>
      <c r="E1230" t="s">
        <v>15</v>
      </c>
      <c r="F1230" s="6">
        <v>3</v>
      </c>
      <c r="G1230" s="24"/>
      <c r="H1230" s="24"/>
      <c r="I1230" s="24"/>
      <c r="J1230" s="24"/>
      <c r="K1230" s="24"/>
      <c r="L1230" s="24"/>
      <c r="M1230" s="24"/>
      <c r="N1230" s="38"/>
    </row>
    <row r="1231" spans="1:15">
      <c r="D1231" s="2">
        <f>ROUNDUP(6+F1231/2,0)</f>
        <v>13</v>
      </c>
      <c r="E1231" s="2" t="s">
        <v>6</v>
      </c>
      <c r="F1231" s="24">
        <f>LEN(G1231)</f>
        <v>14</v>
      </c>
      <c r="G1231" s="24" t="s">
        <v>150</v>
      </c>
      <c r="H1231" s="33">
        <v>150</v>
      </c>
      <c r="I1231" s="33">
        <v>1100</v>
      </c>
      <c r="O1231" s="24"/>
    </row>
    <row r="1232" spans="1:15">
      <c r="D1232" s="13">
        <v>11</v>
      </c>
      <c r="E1232" s="13" t="s">
        <v>98</v>
      </c>
      <c r="F1232" s="34">
        <f>H1232+500</f>
        <v>800</v>
      </c>
      <c r="G1232" s="34">
        <f>I1232-1024</f>
        <v>-24</v>
      </c>
      <c r="H1232" s="34">
        <f>H1231+150</f>
        <v>300</v>
      </c>
      <c r="I1232" s="34">
        <f>I1231-100</f>
        <v>1000</v>
      </c>
      <c r="J1232" s="38">
        <f>2*F1232-H1232</f>
        <v>1300</v>
      </c>
      <c r="K1232" s="38">
        <f>G1232</f>
        <v>-24</v>
      </c>
      <c r="L1232" s="38">
        <f>H1232</f>
        <v>300</v>
      </c>
      <c r="M1232" s="38">
        <f>2*I1232-G1232</f>
        <v>2024</v>
      </c>
      <c r="N1232" s="24"/>
    </row>
    <row r="1233" spans="1:15">
      <c r="A1233" s="13"/>
      <c r="B1233" s="14"/>
      <c r="C1233" s="13"/>
      <c r="D1233" s="13">
        <v>11</v>
      </c>
      <c r="E1233" s="13" t="s">
        <v>98</v>
      </c>
      <c r="F1233" s="24">
        <f>H1232</f>
        <v>300</v>
      </c>
      <c r="G1233" s="24">
        <f>I1233-1024</f>
        <v>2976</v>
      </c>
      <c r="H1233" s="34">
        <f>F1232</f>
        <v>800</v>
      </c>
      <c r="I1233" s="35">
        <f>I1231+2900</f>
        <v>4000</v>
      </c>
      <c r="J1233" s="38">
        <f>J1232</f>
        <v>1300</v>
      </c>
      <c r="K1233" s="38">
        <f>G1233*2-I1233</f>
        <v>1952</v>
      </c>
      <c r="L1233" s="39">
        <f>L1232</f>
        <v>300</v>
      </c>
      <c r="M1233" s="38">
        <f>I1233</f>
        <v>4000</v>
      </c>
      <c r="O1233" s="35"/>
    </row>
    <row r="1234" spans="1:15">
      <c r="A1234" s="1"/>
      <c r="B1234" s="13"/>
      <c r="C1234" s="13"/>
      <c r="D1234" s="2">
        <f>F1234*2+4</f>
        <v>10</v>
      </c>
      <c r="E1234" s="2" t="s">
        <v>4</v>
      </c>
      <c r="F1234" s="24">
        <v>3</v>
      </c>
      <c r="G1234" s="24">
        <f>I1233</f>
        <v>4000</v>
      </c>
      <c r="H1234" s="24">
        <f>H1233+200</f>
        <v>1000</v>
      </c>
      <c r="I1234" s="24">
        <f>G1234-100</f>
        <v>3900</v>
      </c>
      <c r="J1234" s="24">
        <f>H1233</f>
        <v>800</v>
      </c>
      <c r="K1234" s="24">
        <f>G1234+100</f>
        <v>4100</v>
      </c>
      <c r="L1234" s="24">
        <f>J1234</f>
        <v>800</v>
      </c>
      <c r="M1234" s="24"/>
      <c r="N1234" s="35"/>
      <c r="O1234" s="38"/>
    </row>
    <row r="1235" spans="1:15">
      <c r="A1235" s="13"/>
      <c r="B1235" s="2"/>
      <c r="C1235" s="2"/>
      <c r="D1235" s="2">
        <f>ROUNDUP(6+F1235/2,0)</f>
        <v>7</v>
      </c>
      <c r="E1235" s="2" t="s">
        <v>6</v>
      </c>
      <c r="F1235" s="24">
        <f>LEN(G1235)</f>
        <v>2</v>
      </c>
      <c r="G1235" s="36" t="s">
        <v>151</v>
      </c>
      <c r="H1235" s="24">
        <f>H1231-150</f>
        <v>0</v>
      </c>
      <c r="I1235" s="24">
        <f>I1231-768</f>
        <v>332</v>
      </c>
      <c r="J1235" s="24"/>
      <c r="K1235" s="24"/>
      <c r="L1235" s="24"/>
      <c r="N1235" s="38"/>
      <c r="O1235" s="24"/>
    </row>
    <row r="1236" spans="1:15">
      <c r="A1236" s="13"/>
      <c r="B1236" s="2"/>
      <c r="C1236" s="2"/>
      <c r="D1236" s="2">
        <f>ROUNDUP(6+F1236/2,0)</f>
        <v>8</v>
      </c>
      <c r="E1236" s="2" t="s">
        <v>6</v>
      </c>
      <c r="F1236" s="24">
        <f>LEN(G1236)</f>
        <v>4</v>
      </c>
      <c r="G1236" s="36" t="s">
        <v>152</v>
      </c>
      <c r="H1236" s="24">
        <f>H1235</f>
        <v>0</v>
      </c>
      <c r="I1236" s="24">
        <f>G1233+400</f>
        <v>3376</v>
      </c>
      <c r="K1236" s="24"/>
      <c r="L1236" s="24"/>
      <c r="M1236" s="38"/>
      <c r="N1236" s="24"/>
      <c r="O1236" s="24"/>
    </row>
    <row r="1237" spans="1:15">
      <c r="B1237" s="2"/>
      <c r="C1237" s="2"/>
      <c r="D1237" s="2">
        <f>ROUNDUP(6+F1237/2,0)</f>
        <v>12</v>
      </c>
      <c r="E1237" s="2" t="s">
        <v>6</v>
      </c>
      <c r="F1237" s="24">
        <f>LEN(G1237)</f>
        <v>11</v>
      </c>
      <c r="G1237" s="36" t="s">
        <v>154</v>
      </c>
      <c r="H1237" s="33">
        <f>H1231+1024</f>
        <v>1174</v>
      </c>
      <c r="I1237" s="33">
        <v>3200</v>
      </c>
      <c r="N1237" s="24"/>
      <c r="O1237" s="24"/>
    </row>
    <row r="1238" spans="1:15">
      <c r="D1238" s="13">
        <v>11</v>
      </c>
      <c r="E1238" s="13" t="s">
        <v>98</v>
      </c>
      <c r="F1238" s="34">
        <f>H1238+500</f>
        <v>1824</v>
      </c>
      <c r="G1238" s="34">
        <f>I1238-1024</f>
        <v>2076</v>
      </c>
      <c r="H1238" s="34">
        <f>H1237+150</f>
        <v>1324</v>
      </c>
      <c r="I1238" s="34">
        <f>I1237-100</f>
        <v>3100</v>
      </c>
      <c r="J1238" s="38">
        <f>2*F1238-H1238</f>
        <v>2324</v>
      </c>
      <c r="K1238" s="38">
        <f>G1238</f>
        <v>2076</v>
      </c>
      <c r="L1238" s="38">
        <f>H1238</f>
        <v>1324</v>
      </c>
      <c r="M1238" s="38">
        <f>2*I1238-G1238</f>
        <v>4124</v>
      </c>
      <c r="N1238" s="24"/>
    </row>
    <row r="1239" spans="1:15">
      <c r="B1239" s="2"/>
      <c r="C1239" s="2"/>
      <c r="D1239" s="13">
        <v>11</v>
      </c>
      <c r="E1239" s="13" t="s">
        <v>98</v>
      </c>
      <c r="F1239" s="24">
        <f>H1238</f>
        <v>1324</v>
      </c>
      <c r="G1239" s="24">
        <f>I1239-1024</f>
        <v>4776</v>
      </c>
      <c r="H1239" s="34">
        <f>F1238</f>
        <v>1824</v>
      </c>
      <c r="I1239" s="35">
        <f>I1237+2600</f>
        <v>5800</v>
      </c>
      <c r="J1239" s="38">
        <f>J1238</f>
        <v>2324</v>
      </c>
      <c r="K1239" s="38">
        <f>G1239*2-I1239</f>
        <v>3752</v>
      </c>
      <c r="L1239" s="39">
        <f>L1238</f>
        <v>1324</v>
      </c>
      <c r="M1239" s="38">
        <f>I1239</f>
        <v>5800</v>
      </c>
      <c r="O1239" s="24"/>
    </row>
    <row r="1240" spans="1:15">
      <c r="A1240" s="13"/>
      <c r="B1240" s="2"/>
      <c r="C1240" s="2"/>
      <c r="D1240" s="2">
        <f>F1240*2+4</f>
        <v>10</v>
      </c>
      <c r="E1240" s="2" t="s">
        <v>4</v>
      </c>
      <c r="F1240" s="24">
        <v>3</v>
      </c>
      <c r="G1240" s="24">
        <f>G1238</f>
        <v>2076</v>
      </c>
      <c r="H1240" s="24">
        <f>F1238+200</f>
        <v>2024</v>
      </c>
      <c r="I1240" s="24">
        <f>G1240-100</f>
        <v>1976</v>
      </c>
      <c r="J1240" s="24">
        <f>F1238</f>
        <v>1824</v>
      </c>
      <c r="K1240" s="24">
        <f>G1240+100</f>
        <v>2176</v>
      </c>
      <c r="L1240" s="24">
        <f>J1240</f>
        <v>1824</v>
      </c>
      <c r="N1240" s="24"/>
      <c r="O1240" s="24"/>
    </row>
    <row r="1241" spans="1:15">
      <c r="A1241" s="16"/>
      <c r="B1241" s="14"/>
      <c r="C1241" s="13"/>
      <c r="D1241" s="2">
        <f>F1241*2+4</f>
        <v>10</v>
      </c>
      <c r="E1241" s="2" t="s">
        <v>4</v>
      </c>
      <c r="F1241" s="24">
        <v>3</v>
      </c>
      <c r="G1241" s="24">
        <f>I1239</f>
        <v>5800</v>
      </c>
      <c r="H1241" s="24">
        <f>H1239+200</f>
        <v>2024</v>
      </c>
      <c r="I1241" s="24">
        <f>G1241-100</f>
        <v>5700</v>
      </c>
      <c r="J1241" s="24">
        <f>H1239</f>
        <v>1824</v>
      </c>
      <c r="K1241" s="24">
        <f>G1241+100</f>
        <v>5900</v>
      </c>
      <c r="L1241" s="24">
        <f>J1241</f>
        <v>1824</v>
      </c>
      <c r="M1241" s="24"/>
      <c r="N1241" s="24"/>
      <c r="O1241" s="35"/>
    </row>
    <row r="1242" spans="1:15">
      <c r="A1242" s="2"/>
      <c r="B1242" s="2"/>
      <c r="C1242" s="2"/>
      <c r="D1242" s="2">
        <f>ROUNDUP(6+F1242/2,0)</f>
        <v>7</v>
      </c>
      <c r="E1242" s="2" t="s">
        <v>6</v>
      </c>
      <c r="F1242" s="24">
        <f>LEN(G1242)</f>
        <v>2</v>
      </c>
      <c r="G1242" s="36" t="s">
        <v>151</v>
      </c>
      <c r="H1242" s="24">
        <f>H1237-150</f>
        <v>1024</v>
      </c>
      <c r="I1242" s="24">
        <f>I1237-768</f>
        <v>2432</v>
      </c>
      <c r="J1242" s="24"/>
      <c r="K1242" s="24"/>
      <c r="L1242" s="24"/>
      <c r="N1242" s="35"/>
      <c r="O1242" s="24"/>
    </row>
    <row r="1243" spans="1:15">
      <c r="A1243" s="2"/>
      <c r="B1243" s="2"/>
      <c r="C1243" s="2"/>
      <c r="D1243" s="2">
        <f>ROUNDUP(6+F1243/2,0)</f>
        <v>8</v>
      </c>
      <c r="E1243" s="2" t="s">
        <v>6</v>
      </c>
      <c r="F1243" s="24">
        <f>LEN(G1243)</f>
        <v>4</v>
      </c>
      <c r="G1243" s="36" t="s">
        <v>152</v>
      </c>
      <c r="H1243" s="24">
        <f>H1242</f>
        <v>1024</v>
      </c>
      <c r="I1243" s="24">
        <f>G1239+400</f>
        <v>5176</v>
      </c>
      <c r="K1243" s="24"/>
      <c r="L1243" s="24"/>
      <c r="M1243" s="38"/>
      <c r="N1243" s="24"/>
      <c r="O1243" s="24"/>
    </row>
    <row r="1244" spans="1:15">
      <c r="A1244" s="2"/>
      <c r="B1244" s="2"/>
      <c r="C1244" s="2"/>
      <c r="D1244" s="2">
        <f>ROUNDUP(6+F1244/2,0)</f>
        <v>12</v>
      </c>
      <c r="E1244" s="2" t="s">
        <v>6</v>
      </c>
      <c r="F1244" s="24">
        <f>LEN(G1244)</f>
        <v>11</v>
      </c>
      <c r="G1244" s="36" t="s">
        <v>155</v>
      </c>
      <c r="H1244" s="33">
        <f>H1237+1024</f>
        <v>2198</v>
      </c>
      <c r="I1244" s="33">
        <v>5100</v>
      </c>
      <c r="N1244" s="24"/>
      <c r="O1244" s="24"/>
    </row>
    <row r="1245" spans="1:15">
      <c r="A1245" s="2"/>
      <c r="B1245" s="2"/>
      <c r="C1245" s="2"/>
      <c r="D1245" s="13">
        <v>11</v>
      </c>
      <c r="E1245" s="13" t="s">
        <v>98</v>
      </c>
      <c r="F1245" s="34">
        <f>H1245+500</f>
        <v>2848</v>
      </c>
      <c r="G1245" s="34">
        <f>I1245-1024</f>
        <v>3976</v>
      </c>
      <c r="H1245" s="34">
        <f>H1244+150</f>
        <v>2348</v>
      </c>
      <c r="I1245" s="34">
        <f>I1244-100</f>
        <v>5000</v>
      </c>
      <c r="J1245" s="38">
        <f>2*F1245-H1245</f>
        <v>3348</v>
      </c>
      <c r="K1245" s="38">
        <f>G1245</f>
        <v>3976</v>
      </c>
      <c r="L1245" s="38">
        <f>H1245</f>
        <v>2348</v>
      </c>
      <c r="M1245" s="38">
        <f>2*I1245-G1245</f>
        <v>6024</v>
      </c>
      <c r="N1245" s="24"/>
      <c r="O1245" s="24"/>
    </row>
    <row r="1246" spans="1:15">
      <c r="A1246" s="2"/>
      <c r="B1246" s="2"/>
      <c r="C1246" s="2"/>
      <c r="D1246" s="13">
        <v>11</v>
      </c>
      <c r="E1246" s="13" t="s">
        <v>98</v>
      </c>
      <c r="F1246" s="24">
        <f>H1245</f>
        <v>2348</v>
      </c>
      <c r="G1246" s="24">
        <f>I1246-1024</f>
        <v>6676</v>
      </c>
      <c r="H1246" s="34">
        <f>F1245</f>
        <v>2848</v>
      </c>
      <c r="I1246" s="35">
        <f>I1244+2600</f>
        <v>7700</v>
      </c>
      <c r="J1246" s="38">
        <f>J1245</f>
        <v>3348</v>
      </c>
      <c r="K1246" s="38">
        <f>G1246*2-I1246</f>
        <v>5652</v>
      </c>
      <c r="L1246" s="39">
        <f>L1245</f>
        <v>2348</v>
      </c>
      <c r="M1246" s="38">
        <f>I1246</f>
        <v>7700</v>
      </c>
      <c r="N1246" s="24"/>
      <c r="O1246" s="24"/>
    </row>
    <row r="1247" spans="1:15">
      <c r="A1247" s="2"/>
      <c r="B1247" s="2"/>
      <c r="C1247" s="2"/>
      <c r="D1247" s="2">
        <f>F1247*2+4</f>
        <v>10</v>
      </c>
      <c r="E1247" s="2" t="s">
        <v>4</v>
      </c>
      <c r="F1247" s="24">
        <v>3</v>
      </c>
      <c r="G1247" s="24">
        <f>G1245</f>
        <v>3976</v>
      </c>
      <c r="H1247" s="24">
        <f>F1245+200</f>
        <v>3048</v>
      </c>
      <c r="I1247" s="24">
        <f>G1247-100</f>
        <v>3876</v>
      </c>
      <c r="J1247" s="24">
        <f>F1245</f>
        <v>2848</v>
      </c>
      <c r="K1247" s="24">
        <f>G1247+100</f>
        <v>4076</v>
      </c>
      <c r="L1247" s="24">
        <f>J1247</f>
        <v>2848</v>
      </c>
      <c r="N1247" s="24"/>
      <c r="O1247" s="24"/>
    </row>
    <row r="1248" spans="1:15">
      <c r="A1248" s="2"/>
      <c r="B1248" s="2"/>
      <c r="C1248" s="2"/>
      <c r="D1248" s="2">
        <f>F1248*2+4</f>
        <v>10</v>
      </c>
      <c r="E1248" s="2" t="s">
        <v>4</v>
      </c>
      <c r="F1248" s="24">
        <v>3</v>
      </c>
      <c r="G1248" s="24">
        <f>I1246</f>
        <v>7700</v>
      </c>
      <c r="H1248" s="24">
        <f>H1246+200</f>
        <v>3048</v>
      </c>
      <c r="I1248" s="24">
        <f>G1248-100</f>
        <v>7600</v>
      </c>
      <c r="J1248" s="24">
        <f>H1246</f>
        <v>2848</v>
      </c>
      <c r="K1248" s="24">
        <f>G1248+100</f>
        <v>7800</v>
      </c>
      <c r="L1248" s="24">
        <f>J1248</f>
        <v>2848</v>
      </c>
      <c r="M1248" s="24"/>
      <c r="N1248" s="24"/>
      <c r="O1248" s="24"/>
    </row>
    <row r="1249" spans="1:15">
      <c r="A1249" s="2"/>
      <c r="B1249" s="2"/>
      <c r="C1249" s="2"/>
      <c r="D1249" s="2">
        <f>ROUNDUP(6+F1249/2,0)</f>
        <v>7</v>
      </c>
      <c r="E1249" s="2" t="s">
        <v>6</v>
      </c>
      <c r="F1249" s="24">
        <f>LEN(G1249)</f>
        <v>2</v>
      </c>
      <c r="G1249" s="36" t="s">
        <v>151</v>
      </c>
      <c r="H1249" s="24">
        <f>H1244-150</f>
        <v>2048</v>
      </c>
      <c r="I1249" s="24">
        <f>I1244-768</f>
        <v>4332</v>
      </c>
      <c r="J1249" s="24"/>
      <c r="K1249" s="24"/>
      <c r="L1249" s="24"/>
      <c r="N1249" s="24"/>
      <c r="O1249" s="24"/>
    </row>
    <row r="1250" spans="1:15">
      <c r="A1250" s="2"/>
      <c r="B1250" s="2"/>
      <c r="C1250" s="2"/>
      <c r="D1250" s="2">
        <f>ROUNDUP(6+F1250/2,0)</f>
        <v>8</v>
      </c>
      <c r="E1250" s="2" t="s">
        <v>6</v>
      </c>
      <c r="F1250" s="24">
        <f>LEN(G1250)</f>
        <v>4</v>
      </c>
      <c r="G1250" s="36" t="s">
        <v>152</v>
      </c>
      <c r="H1250" s="24">
        <f>H1249</f>
        <v>2048</v>
      </c>
      <c r="I1250" s="24">
        <f>G1246+400</f>
        <v>7076</v>
      </c>
      <c r="K1250" s="24"/>
      <c r="L1250" s="24"/>
      <c r="M1250" s="38"/>
      <c r="N1250" s="24"/>
      <c r="O1250" s="24"/>
    </row>
    <row r="1251" spans="1:15">
      <c r="A1251" s="2"/>
      <c r="B1251" s="2"/>
      <c r="C1251" s="2"/>
      <c r="D1251" s="2">
        <f>ROUNDUP(6+F1251/2,0)</f>
        <v>10</v>
      </c>
      <c r="E1251" s="2" t="s">
        <v>6</v>
      </c>
      <c r="F1251" s="24">
        <f>LEN(G1251)</f>
        <v>7</v>
      </c>
      <c r="G1251" s="36" t="s">
        <v>156</v>
      </c>
      <c r="H1251" s="33">
        <f>H1244+1024</f>
        <v>3222</v>
      </c>
      <c r="I1251" s="33">
        <v>3500</v>
      </c>
      <c r="N1251" s="24"/>
      <c r="O1251" s="24"/>
    </row>
    <row r="1252" spans="1:15">
      <c r="A1252" s="2"/>
      <c r="B1252" s="2"/>
      <c r="C1252" s="2"/>
      <c r="D1252" s="13">
        <v>11</v>
      </c>
      <c r="E1252" s="13" t="s">
        <v>98</v>
      </c>
      <c r="F1252" s="34">
        <f>H1252+500</f>
        <v>3872</v>
      </c>
      <c r="G1252" s="34">
        <f>I1252-1024</f>
        <v>2376</v>
      </c>
      <c r="H1252" s="34">
        <f>H1251+150</f>
        <v>3372</v>
      </c>
      <c r="I1252" s="34">
        <f>I1251-100</f>
        <v>3400</v>
      </c>
      <c r="J1252" s="38">
        <f>2*F1252-H1252</f>
        <v>4372</v>
      </c>
      <c r="K1252" s="38">
        <f>G1252</f>
        <v>2376</v>
      </c>
      <c r="L1252" s="38">
        <f>H1252</f>
        <v>3372</v>
      </c>
      <c r="M1252" s="38">
        <f>2*I1252-G1252</f>
        <v>4424</v>
      </c>
      <c r="N1252" s="24"/>
      <c r="O1252" s="24"/>
    </row>
    <row r="1253" spans="1:15">
      <c r="A1253" s="2"/>
      <c r="B1253" s="2"/>
      <c r="C1253" s="2"/>
      <c r="D1253" s="13">
        <v>11</v>
      </c>
      <c r="E1253" s="13" t="s">
        <v>98</v>
      </c>
      <c r="F1253" s="24">
        <f>H1252</f>
        <v>3372</v>
      </c>
      <c r="G1253" s="24">
        <f>I1253-1024</f>
        <v>4676</v>
      </c>
      <c r="H1253" s="34">
        <f>F1252</f>
        <v>3872</v>
      </c>
      <c r="I1253" s="35">
        <f>I1251+2200</f>
        <v>5700</v>
      </c>
      <c r="J1253" s="38">
        <f>J1252</f>
        <v>4372</v>
      </c>
      <c r="K1253" s="38">
        <f>G1253*2-I1253</f>
        <v>3652</v>
      </c>
      <c r="L1253" s="39">
        <f>L1252</f>
        <v>3372</v>
      </c>
      <c r="M1253" s="38">
        <f>I1253</f>
        <v>5700</v>
      </c>
      <c r="N1253" s="24"/>
      <c r="O1253" s="24"/>
    </row>
    <row r="1254" spans="1:15">
      <c r="A1254" s="2"/>
      <c r="B1254" s="2"/>
      <c r="C1254" s="2"/>
      <c r="D1254" s="2">
        <f>F1254*2+4</f>
        <v>10</v>
      </c>
      <c r="E1254" s="2" t="s">
        <v>4</v>
      </c>
      <c r="F1254" s="24">
        <v>3</v>
      </c>
      <c r="G1254" s="24">
        <f>G1252</f>
        <v>2376</v>
      </c>
      <c r="H1254" s="24">
        <f>F1252+200</f>
        <v>4072</v>
      </c>
      <c r="I1254" s="24">
        <f>G1254-100</f>
        <v>2276</v>
      </c>
      <c r="J1254" s="24">
        <f>F1252</f>
        <v>3872</v>
      </c>
      <c r="K1254" s="24">
        <f>G1254+100</f>
        <v>2476</v>
      </c>
      <c r="L1254" s="24">
        <f>J1254</f>
        <v>3872</v>
      </c>
      <c r="N1254" s="24"/>
      <c r="O1254" s="24"/>
    </row>
    <row r="1255" spans="1:15">
      <c r="A1255" s="2"/>
      <c r="B1255" s="2"/>
      <c r="C1255" s="2"/>
      <c r="D1255" s="2">
        <f>F1255*2+4</f>
        <v>10</v>
      </c>
      <c r="E1255" s="2" t="s">
        <v>4</v>
      </c>
      <c r="F1255" s="24">
        <v>3</v>
      </c>
      <c r="G1255" s="24">
        <f>I1253</f>
        <v>5700</v>
      </c>
      <c r="H1255" s="24">
        <f>H1253+200</f>
        <v>4072</v>
      </c>
      <c r="I1255" s="24">
        <f>G1255-100</f>
        <v>5600</v>
      </c>
      <c r="J1255" s="24">
        <f>H1253</f>
        <v>3872</v>
      </c>
      <c r="K1255" s="24">
        <f>G1255+100</f>
        <v>5800</v>
      </c>
      <c r="L1255" s="24">
        <f>J1255</f>
        <v>3872</v>
      </c>
      <c r="M1255" s="24"/>
      <c r="N1255" s="24"/>
      <c r="O1255" s="24"/>
    </row>
    <row r="1256" spans="1:15">
      <c r="A1256" s="2"/>
      <c r="B1256" s="2"/>
      <c r="C1256" s="2"/>
      <c r="D1256" s="2">
        <f>ROUNDUP(6+F1256/2,0)</f>
        <v>7</v>
      </c>
      <c r="E1256" s="2" t="s">
        <v>6</v>
      </c>
      <c r="F1256" s="24">
        <f>LEN(G1256)</f>
        <v>2</v>
      </c>
      <c r="G1256" s="36" t="s">
        <v>151</v>
      </c>
      <c r="H1256" s="24">
        <f>H1251-150</f>
        <v>3072</v>
      </c>
      <c r="I1256" s="24">
        <f>I1251-768</f>
        <v>2732</v>
      </c>
      <c r="J1256" s="24"/>
      <c r="K1256" s="24"/>
      <c r="L1256" s="24"/>
      <c r="N1256" s="24"/>
      <c r="O1256" s="24"/>
    </row>
    <row r="1257" spans="1:15">
      <c r="A1257" s="2"/>
      <c r="B1257" s="2"/>
      <c r="C1257" s="2"/>
      <c r="D1257" s="2">
        <f>ROUNDUP(6+F1257/2,0)</f>
        <v>8</v>
      </c>
      <c r="E1257" s="2" t="s">
        <v>6</v>
      </c>
      <c r="F1257" s="24">
        <f>LEN(G1257)</f>
        <v>4</v>
      </c>
      <c r="G1257" s="36" t="s">
        <v>152</v>
      </c>
      <c r="H1257" s="24">
        <f>H1256</f>
        <v>3072</v>
      </c>
      <c r="I1257" s="24">
        <f>G1253+400</f>
        <v>5076</v>
      </c>
      <c r="K1257" s="24"/>
      <c r="L1257" s="24"/>
      <c r="M1257" s="38"/>
      <c r="N1257" s="24"/>
      <c r="O1257" s="24"/>
    </row>
    <row r="1258" spans="1:15">
      <c r="A1258" s="2"/>
      <c r="B1258" s="2"/>
      <c r="C1258" s="2"/>
      <c r="D1258" s="2">
        <f>ROUNDUP(6+F1258/2,0)</f>
        <v>9</v>
      </c>
      <c r="E1258" s="2" t="s">
        <v>6</v>
      </c>
      <c r="F1258" s="24">
        <f>LEN(G1258)</f>
        <v>5</v>
      </c>
      <c r="G1258" s="36" t="s">
        <v>157</v>
      </c>
      <c r="H1258" s="33">
        <f>H1251+1024</f>
        <v>4246</v>
      </c>
      <c r="I1258" s="33">
        <v>5400</v>
      </c>
      <c r="N1258" s="24"/>
      <c r="O1258" s="24"/>
    </row>
    <row r="1259" spans="1:15">
      <c r="A1259" s="2"/>
      <c r="B1259" s="2"/>
      <c r="C1259" s="2"/>
      <c r="D1259" s="13">
        <v>11</v>
      </c>
      <c r="E1259" s="13" t="s">
        <v>98</v>
      </c>
      <c r="F1259" s="34">
        <f>H1259+500</f>
        <v>4896</v>
      </c>
      <c r="G1259" s="34">
        <f>I1259-1024</f>
        <v>4276</v>
      </c>
      <c r="H1259" s="34">
        <f>H1258+150</f>
        <v>4396</v>
      </c>
      <c r="I1259" s="34">
        <f>I1258-100</f>
        <v>5300</v>
      </c>
      <c r="J1259" s="38">
        <f>2*F1259-H1259</f>
        <v>5396</v>
      </c>
      <c r="K1259" s="38">
        <f>G1259</f>
        <v>4276</v>
      </c>
      <c r="L1259" s="38">
        <f>H1259</f>
        <v>4396</v>
      </c>
      <c r="M1259" s="38">
        <f>2*I1259-G1259</f>
        <v>6324</v>
      </c>
      <c r="N1259" s="24"/>
      <c r="O1259" s="24"/>
    </row>
    <row r="1260" spans="1:15">
      <c r="A1260" s="2"/>
      <c r="B1260" s="2"/>
      <c r="C1260" s="2"/>
      <c r="D1260" s="13">
        <v>11</v>
      </c>
      <c r="E1260" s="13" t="s">
        <v>98</v>
      </c>
      <c r="F1260" s="24">
        <f>H1259</f>
        <v>4396</v>
      </c>
      <c r="G1260" s="24">
        <f>I1260-1024</f>
        <v>6176</v>
      </c>
      <c r="H1260" s="34">
        <f>F1259</f>
        <v>4896</v>
      </c>
      <c r="I1260" s="35">
        <f>I1258+1800</f>
        <v>7200</v>
      </c>
      <c r="J1260" s="38">
        <f>J1259</f>
        <v>5396</v>
      </c>
      <c r="K1260" s="38">
        <f>G1260*2-I1260</f>
        <v>5152</v>
      </c>
      <c r="L1260" s="39">
        <f>L1259</f>
        <v>4396</v>
      </c>
      <c r="M1260" s="38">
        <f>I1260</f>
        <v>7200</v>
      </c>
      <c r="N1260" s="24"/>
      <c r="O1260" s="24"/>
    </row>
    <row r="1261" spans="1:15">
      <c r="A1261" s="2"/>
      <c r="B1261" s="2"/>
      <c r="C1261" s="2"/>
      <c r="D1261" s="2">
        <f>F1261*2+4</f>
        <v>10</v>
      </c>
      <c r="E1261" s="2" t="s">
        <v>4</v>
      </c>
      <c r="F1261" s="24">
        <v>3</v>
      </c>
      <c r="G1261" s="24">
        <f>G1259</f>
        <v>4276</v>
      </c>
      <c r="H1261" s="24">
        <f>F1259+200</f>
        <v>5096</v>
      </c>
      <c r="I1261" s="24">
        <f>G1261-100</f>
        <v>4176</v>
      </c>
      <c r="J1261" s="24">
        <f>F1259</f>
        <v>4896</v>
      </c>
      <c r="K1261" s="24">
        <f>G1261+100</f>
        <v>4376</v>
      </c>
      <c r="L1261" s="24">
        <f>J1261</f>
        <v>4896</v>
      </c>
      <c r="N1261" s="24"/>
      <c r="O1261" s="24"/>
    </row>
    <row r="1262" spans="1:15">
      <c r="A1262" s="2"/>
      <c r="B1262" s="2"/>
      <c r="C1262" s="2"/>
      <c r="D1262" s="2">
        <f>F1262*2+4</f>
        <v>10</v>
      </c>
      <c r="E1262" s="2" t="s">
        <v>4</v>
      </c>
      <c r="F1262" s="24">
        <v>3</v>
      </c>
      <c r="G1262" s="24">
        <f>I1260</f>
        <v>7200</v>
      </c>
      <c r="H1262" s="24">
        <f>H1260+200</f>
        <v>5096</v>
      </c>
      <c r="I1262" s="24">
        <f>G1262-100</f>
        <v>7100</v>
      </c>
      <c r="J1262" s="24">
        <f>H1260</f>
        <v>4896</v>
      </c>
      <c r="K1262" s="24">
        <f>G1262+100</f>
        <v>7300</v>
      </c>
      <c r="L1262" s="24">
        <f>J1262</f>
        <v>4896</v>
      </c>
      <c r="M1262" s="24"/>
      <c r="N1262" s="24"/>
      <c r="O1262" s="24"/>
    </row>
    <row r="1263" spans="1:15">
      <c r="A1263" s="2"/>
      <c r="B1263" s="2"/>
      <c r="C1263" s="2"/>
      <c r="D1263" s="2">
        <f t="shared" ref="D1263:D1269" si="91">ROUNDUP(6+F1263/2,0)</f>
        <v>7</v>
      </c>
      <c r="E1263" s="2" t="s">
        <v>6</v>
      </c>
      <c r="F1263" s="24">
        <f t="shared" ref="F1263:F1269" si="92">LEN(G1263)</f>
        <v>2</v>
      </c>
      <c r="G1263" s="36" t="s">
        <v>151</v>
      </c>
      <c r="H1263" s="24">
        <f>H1258-150</f>
        <v>4096</v>
      </c>
      <c r="I1263" s="24">
        <f>I1258-768</f>
        <v>4632</v>
      </c>
      <c r="J1263" s="24"/>
      <c r="K1263" s="24"/>
      <c r="L1263" s="24"/>
      <c r="N1263" s="24"/>
      <c r="O1263" s="24"/>
    </row>
    <row r="1264" spans="1:15">
      <c r="A1264" s="2"/>
      <c r="B1264" s="2"/>
      <c r="C1264" s="2"/>
      <c r="D1264" s="2">
        <f t="shared" si="91"/>
        <v>8</v>
      </c>
      <c r="E1264" s="2" t="s">
        <v>6</v>
      </c>
      <c r="F1264" s="24">
        <f t="shared" si="92"/>
        <v>4</v>
      </c>
      <c r="G1264" s="36" t="s">
        <v>152</v>
      </c>
      <c r="H1264" s="24">
        <f>H1263</f>
        <v>4096</v>
      </c>
      <c r="I1264" s="24">
        <f>G1260+400</f>
        <v>6576</v>
      </c>
      <c r="K1264" s="24"/>
      <c r="L1264" s="24"/>
      <c r="M1264" s="38"/>
      <c r="N1264" s="24"/>
      <c r="O1264" s="24"/>
    </row>
    <row r="1265" spans="1:15">
      <c r="A1265" s="2"/>
      <c r="B1265" s="2"/>
      <c r="C1265" s="2"/>
      <c r="D1265" s="2">
        <f t="shared" si="91"/>
        <v>12</v>
      </c>
      <c r="E1265" s="2" t="s">
        <v>6</v>
      </c>
      <c r="F1265" s="24">
        <f t="shared" si="92"/>
        <v>11</v>
      </c>
      <c r="G1265" s="36" t="s">
        <v>158</v>
      </c>
      <c r="H1265" s="24">
        <v>2148</v>
      </c>
      <c r="I1265" s="24">
        <v>1280</v>
      </c>
      <c r="J1265" s="38"/>
      <c r="K1265" s="38"/>
      <c r="L1265" s="38"/>
      <c r="M1265" s="38"/>
      <c r="N1265" s="24"/>
      <c r="O1265" s="24"/>
    </row>
    <row r="1266" spans="1:15">
      <c r="A1266" s="2"/>
      <c r="B1266" s="2"/>
      <c r="C1266" s="2"/>
      <c r="D1266" s="2">
        <f t="shared" si="91"/>
        <v>10</v>
      </c>
      <c r="E1266" s="2" t="s">
        <v>6</v>
      </c>
      <c r="F1266" s="24">
        <f t="shared" si="92"/>
        <v>8</v>
      </c>
      <c r="G1266" s="36" t="s">
        <v>161</v>
      </c>
      <c r="H1266" s="24">
        <f>H1265+1024</f>
        <v>3172</v>
      </c>
      <c r="I1266" s="24">
        <v>7000</v>
      </c>
      <c r="J1266" s="24"/>
      <c r="K1266" s="24"/>
      <c r="L1266" s="24"/>
      <c r="M1266" s="24"/>
      <c r="N1266" s="24"/>
      <c r="O1266" s="24"/>
    </row>
    <row r="1267" spans="1:15">
      <c r="A1267" s="2"/>
      <c r="B1267" s="2"/>
      <c r="C1267" s="2"/>
      <c r="D1267" s="2">
        <f t="shared" si="91"/>
        <v>12</v>
      </c>
      <c r="E1267" s="2" t="s">
        <v>6</v>
      </c>
      <c r="F1267" s="24">
        <f t="shared" si="92"/>
        <v>11</v>
      </c>
      <c r="G1267" s="36" t="s">
        <v>159</v>
      </c>
      <c r="H1267" s="24">
        <f>H1266+1024</f>
        <v>4196</v>
      </c>
      <c r="I1267" s="24">
        <v>1600</v>
      </c>
      <c r="J1267" s="24"/>
      <c r="K1267" s="24"/>
      <c r="L1267" s="24"/>
      <c r="M1267" s="24"/>
      <c r="N1267" s="24"/>
      <c r="O1267" s="24"/>
    </row>
    <row r="1268" spans="1:15">
      <c r="A1268" s="2"/>
      <c r="B1268" s="2"/>
      <c r="C1268" s="2"/>
      <c r="D1268" s="2">
        <f t="shared" si="91"/>
        <v>12</v>
      </c>
      <c r="E1268" s="2" t="s">
        <v>6</v>
      </c>
      <c r="F1268" s="24">
        <f t="shared" si="92"/>
        <v>11</v>
      </c>
      <c r="G1268" s="36" t="s">
        <v>160</v>
      </c>
      <c r="H1268" s="24">
        <f>H1267+1024</f>
        <v>5220</v>
      </c>
      <c r="I1268" s="24">
        <v>3600</v>
      </c>
      <c r="J1268" s="24"/>
      <c r="K1268" s="24"/>
      <c r="L1268" s="24"/>
      <c r="M1268" s="24"/>
      <c r="N1268" s="24"/>
      <c r="O1268" s="24"/>
    </row>
    <row r="1269" spans="1:15">
      <c r="A1269" s="2"/>
      <c r="B1269" s="2"/>
      <c r="C1269" s="2"/>
      <c r="D1269" s="2">
        <f t="shared" si="91"/>
        <v>12</v>
      </c>
      <c r="E1269" s="2" t="s">
        <v>6</v>
      </c>
      <c r="F1269" s="24">
        <f t="shared" si="92"/>
        <v>11</v>
      </c>
      <c r="G1269" s="36" t="s">
        <v>160</v>
      </c>
      <c r="H1269" s="24">
        <f>H1268</f>
        <v>5220</v>
      </c>
      <c r="I1269" s="24">
        <v>6400</v>
      </c>
      <c r="J1269" s="24"/>
      <c r="K1269" s="24"/>
      <c r="L1269" s="24"/>
      <c r="M1269" s="24"/>
      <c r="N1269" s="24"/>
      <c r="O1269" s="24"/>
    </row>
    <row r="1272" spans="1:15">
      <c r="A1272" s="48" t="s">
        <v>383</v>
      </c>
      <c r="B1272" s="1" t="s">
        <v>163</v>
      </c>
      <c r="D1272" t="s">
        <v>449</v>
      </c>
      <c r="E1272">
        <v>52695</v>
      </c>
      <c r="F1272" s="6">
        <v>39622</v>
      </c>
      <c r="G1272" s="6">
        <v>0</v>
      </c>
      <c r="H1272" s="6">
        <v>0</v>
      </c>
      <c r="I1272" s="6">
        <v>0</v>
      </c>
      <c r="J1272" s="6">
        <v>6000</v>
      </c>
      <c r="K1272" s="6">
        <v>5100</v>
      </c>
      <c r="L1272" s="6">
        <v>1920</v>
      </c>
      <c r="M1272" s="6">
        <v>0</v>
      </c>
      <c r="N1272" s="6">
        <v>0</v>
      </c>
      <c r="O1272" s="6" t="e">
        <f ca="1">checksummeint(G1272,H1272,I1272,J1272,K1272,L1272,M1272,N1272)</f>
        <v>#NAME?</v>
      </c>
    </row>
    <row r="1273" spans="1:15">
      <c r="A1273" s="1"/>
      <c r="D1273">
        <v>28</v>
      </c>
      <c r="E1273" t="s">
        <v>12</v>
      </c>
      <c r="F1273" s="6">
        <v>360</v>
      </c>
      <c r="G1273" s="6">
        <v>0</v>
      </c>
      <c r="H1273" s="6">
        <v>0</v>
      </c>
      <c r="I1273" s="6">
        <v>0</v>
      </c>
      <c r="J1273" s="6">
        <v>400</v>
      </c>
      <c r="K1273" s="6">
        <v>0</v>
      </c>
      <c r="L1273" s="6">
        <v>0</v>
      </c>
      <c r="M1273" s="6">
        <v>0</v>
      </c>
      <c r="N1273" s="6">
        <v>0</v>
      </c>
      <c r="O1273" s="6" t="s">
        <v>19</v>
      </c>
    </row>
    <row r="1274" spans="1:15">
      <c r="D1274">
        <v>5</v>
      </c>
      <c r="E1274" t="s">
        <v>59</v>
      </c>
      <c r="F1274" s="6">
        <v>1</v>
      </c>
      <c r="G1274" s="6">
        <v>0</v>
      </c>
    </row>
    <row r="1275" spans="1:15">
      <c r="D1275">
        <v>8</v>
      </c>
      <c r="E1275" t="s">
        <v>14</v>
      </c>
      <c r="F1275" s="6">
        <v>0</v>
      </c>
      <c r="G1275" s="6">
        <v>16</v>
      </c>
      <c r="H1275" s="6">
        <v>0</v>
      </c>
      <c r="I1275" s="6">
        <v>0</v>
      </c>
      <c r="J1275" s="6">
        <v>0</v>
      </c>
      <c r="M1275" s="44"/>
      <c r="N1275" s="45"/>
      <c r="O1275" s="46"/>
    </row>
    <row r="1276" spans="1:15">
      <c r="D1276">
        <v>8</v>
      </c>
      <c r="E1276" t="s">
        <v>14</v>
      </c>
      <c r="F1276" s="6">
        <v>2</v>
      </c>
      <c r="G1276" s="6">
        <v>16</v>
      </c>
      <c r="H1276" s="6">
        <v>0</v>
      </c>
      <c r="I1276" s="6">
        <v>0</v>
      </c>
      <c r="J1276" s="6">
        <v>0</v>
      </c>
    </row>
    <row r="1277" spans="1:15">
      <c r="D1277">
        <v>7</v>
      </c>
      <c r="E1277" t="s">
        <v>11</v>
      </c>
      <c r="F1277" s="6">
        <v>0</v>
      </c>
      <c r="G1277" s="24">
        <v>0</v>
      </c>
      <c r="H1277" s="24">
        <v>0</v>
      </c>
      <c r="I1277" s="6">
        <v>0</v>
      </c>
    </row>
    <row r="1278" spans="1:15">
      <c r="D1278">
        <v>7</v>
      </c>
      <c r="E1278" t="s">
        <v>11</v>
      </c>
      <c r="F1278" s="6">
        <v>0</v>
      </c>
      <c r="G1278" s="6">
        <f>257*192</f>
        <v>49344</v>
      </c>
      <c r="H1278" s="6">
        <v>192</v>
      </c>
      <c r="I1278" s="6">
        <v>0</v>
      </c>
    </row>
    <row r="1279" spans="1:15">
      <c r="D1279">
        <v>28</v>
      </c>
      <c r="E1279" t="s">
        <v>12</v>
      </c>
      <c r="F1279" s="6">
        <f>F1273*1.4</f>
        <v>503.99999999999994</v>
      </c>
      <c r="G1279" s="6">
        <v>0</v>
      </c>
      <c r="H1279" s="6">
        <v>0</v>
      </c>
      <c r="I1279" s="6">
        <v>0</v>
      </c>
      <c r="J1279" s="6">
        <v>700</v>
      </c>
      <c r="K1279" s="6">
        <v>0</v>
      </c>
      <c r="L1279" s="6">
        <v>0</v>
      </c>
      <c r="M1279" s="6">
        <v>0</v>
      </c>
      <c r="N1279" s="6">
        <v>0</v>
      </c>
      <c r="O1279" s="6" t="s">
        <v>19</v>
      </c>
    </row>
    <row r="1280" spans="1:15">
      <c r="D1280">
        <v>8</v>
      </c>
      <c r="E1280" t="s">
        <v>14</v>
      </c>
      <c r="F1280" s="6">
        <v>0</v>
      </c>
      <c r="G1280" s="6">
        <v>48</v>
      </c>
      <c r="H1280" s="6">
        <v>0</v>
      </c>
      <c r="I1280" s="6">
        <v>0</v>
      </c>
      <c r="J1280" s="6">
        <v>0</v>
      </c>
    </row>
    <row r="1281" spans="1:17">
      <c r="D1281">
        <v>7</v>
      </c>
      <c r="E1281" t="s">
        <v>11</v>
      </c>
      <c r="F1281" s="6">
        <v>0</v>
      </c>
      <c r="G1281" s="6">
        <f>257*224</f>
        <v>57568</v>
      </c>
      <c r="H1281" s="6">
        <v>224</v>
      </c>
      <c r="I1281" s="6">
        <v>0</v>
      </c>
    </row>
    <row r="1282" spans="1:17">
      <c r="D1282">
        <v>4</v>
      </c>
      <c r="E1282" t="s">
        <v>15</v>
      </c>
      <c r="F1282" s="6">
        <v>0</v>
      </c>
      <c r="G1282" s="24"/>
    </row>
    <row r="1283" spans="1:17">
      <c r="D1283">
        <v>4</v>
      </c>
      <c r="E1283" t="s">
        <v>15</v>
      </c>
      <c r="F1283" s="6">
        <v>3</v>
      </c>
    </row>
    <row r="1284" spans="1:17">
      <c r="A1284" s="2"/>
      <c r="B1284" s="2"/>
      <c r="C1284" s="2"/>
      <c r="D1284">
        <v>4</v>
      </c>
      <c r="E1284" t="s">
        <v>15</v>
      </c>
      <c r="F1284" s="6">
        <v>1</v>
      </c>
      <c r="G1284" s="24"/>
      <c r="K1284" s="24"/>
      <c r="L1284" s="24"/>
      <c r="M1284" s="24"/>
      <c r="N1284" s="24"/>
      <c r="O1284" s="24"/>
      <c r="P1284" s="2"/>
      <c r="Q1284" s="2"/>
    </row>
    <row r="1285" spans="1:17">
      <c r="A1285" s="2"/>
      <c r="B1285" s="2"/>
      <c r="C1285" s="2"/>
      <c r="D1285" s="2">
        <f>ROUNDUP(6+F1285/2,0)</f>
        <v>10</v>
      </c>
      <c r="E1285" s="2" t="s">
        <v>6</v>
      </c>
      <c r="F1285" s="24">
        <f>LEN(G1285)</f>
        <v>8</v>
      </c>
      <c r="G1285" s="24" t="s">
        <v>164</v>
      </c>
      <c r="H1285" s="24">
        <v>50</v>
      </c>
      <c r="I1285" s="24">
        <v>150</v>
      </c>
      <c r="J1285" s="24"/>
      <c r="K1285" s="24"/>
      <c r="L1285" s="24"/>
      <c r="M1285" s="24"/>
      <c r="N1285" s="24"/>
      <c r="O1285" s="24"/>
      <c r="P1285" s="2"/>
      <c r="Q1285" s="2"/>
    </row>
    <row r="1286" spans="1:17">
      <c r="A1286" s="2"/>
      <c r="B1286" s="2"/>
      <c r="C1286" s="2"/>
      <c r="D1286" s="2">
        <f>ROUNDUP(6+F1286/2,0)</f>
        <v>10</v>
      </c>
      <c r="E1286" s="2" t="s">
        <v>6</v>
      </c>
      <c r="F1286" s="24">
        <f>LEN(G1286)</f>
        <v>8</v>
      </c>
      <c r="G1286" s="24" t="s">
        <v>165</v>
      </c>
      <c r="H1286" s="24">
        <v>4350</v>
      </c>
      <c r="I1286" s="24">
        <v>4900</v>
      </c>
      <c r="J1286" s="24"/>
      <c r="K1286" s="24"/>
      <c r="L1286" s="24"/>
      <c r="M1286" s="24"/>
      <c r="N1286" s="24"/>
      <c r="O1286" s="24"/>
      <c r="P1286" s="2"/>
      <c r="Q1286" s="2"/>
    </row>
    <row r="1287" spans="1:17">
      <c r="A1287" s="2"/>
      <c r="B1287" s="2"/>
      <c r="C1287" s="2"/>
      <c r="D1287" s="2">
        <v>18</v>
      </c>
      <c r="E1287" s="2" t="s">
        <v>111</v>
      </c>
      <c r="F1287" s="24">
        <v>200</v>
      </c>
      <c r="G1287" s="24">
        <v>700</v>
      </c>
      <c r="H1287" s="24">
        <v>4600</v>
      </c>
      <c r="I1287" s="24">
        <v>700</v>
      </c>
      <c r="J1287" s="24">
        <v>500</v>
      </c>
      <c r="K1287" s="24"/>
      <c r="L1287" s="24"/>
      <c r="M1287" s="24"/>
      <c r="N1287" s="24"/>
      <c r="O1287" s="24"/>
      <c r="P1287" s="2"/>
      <c r="Q1287" s="2"/>
    </row>
    <row r="1288" spans="1:17">
      <c r="A1288" s="2"/>
      <c r="B1288" s="2"/>
      <c r="C1288" s="2"/>
      <c r="D1288" s="2">
        <v>18</v>
      </c>
      <c r="E1288" s="2" t="s">
        <v>111</v>
      </c>
      <c r="F1288" s="24">
        <v>200</v>
      </c>
      <c r="G1288" s="24">
        <v>600</v>
      </c>
      <c r="H1288" s="24">
        <v>4500</v>
      </c>
      <c r="I1288" s="24">
        <v>4700</v>
      </c>
      <c r="J1288" s="24">
        <v>4500</v>
      </c>
      <c r="K1288" s="24"/>
      <c r="L1288" s="24"/>
      <c r="M1288" s="24"/>
      <c r="N1288" s="24"/>
      <c r="O1288" s="24"/>
      <c r="P1288" s="2"/>
      <c r="Q1288" s="2"/>
    </row>
    <row r="1289" spans="1:17">
      <c r="A1289" s="2"/>
      <c r="B1289" s="2"/>
      <c r="C1289" s="2"/>
      <c r="D1289" s="2">
        <f>F1289*2+4</f>
        <v>10</v>
      </c>
      <c r="E1289" s="2" t="s">
        <v>1</v>
      </c>
      <c r="F1289" s="24">
        <v>3</v>
      </c>
      <c r="G1289" s="24">
        <v>600</v>
      </c>
      <c r="H1289" s="24">
        <v>1000</v>
      </c>
      <c r="I1289" s="24">
        <v>4200</v>
      </c>
      <c r="J1289" s="24">
        <v>1000</v>
      </c>
      <c r="K1289" s="24">
        <v>4200</v>
      </c>
      <c r="L1289" s="24">
        <v>4600</v>
      </c>
      <c r="M1289" s="24"/>
      <c r="N1289" s="24"/>
      <c r="O1289" s="24"/>
      <c r="P1289" s="2"/>
      <c r="Q1289" s="2"/>
    </row>
    <row r="1290" spans="1:17">
      <c r="A1290" s="2"/>
      <c r="B1290" s="2"/>
      <c r="C1290" s="2"/>
      <c r="D1290" s="2">
        <f>F1290*2+4</f>
        <v>8</v>
      </c>
      <c r="E1290" s="2" t="s">
        <v>1</v>
      </c>
      <c r="F1290" s="24">
        <v>2</v>
      </c>
      <c r="G1290" s="24">
        <v>600</v>
      </c>
      <c r="H1290" s="24">
        <v>2750</v>
      </c>
      <c r="I1290" s="24">
        <v>800</v>
      </c>
      <c r="J1290" s="24">
        <v>2750</v>
      </c>
      <c r="K1290" s="24"/>
      <c r="L1290" s="24"/>
      <c r="M1290" s="24"/>
      <c r="N1290" s="24"/>
      <c r="O1290" s="24"/>
      <c r="P1290" s="2"/>
      <c r="Q1290" s="2"/>
    </row>
    <row r="1291" spans="1:17">
      <c r="A1291" s="2"/>
      <c r="B1291" s="2"/>
      <c r="C1291" s="2"/>
      <c r="D1291" s="2">
        <f>F1291*2+4</f>
        <v>8</v>
      </c>
      <c r="E1291" s="2" t="s">
        <v>1</v>
      </c>
      <c r="F1291" s="24">
        <v>2</v>
      </c>
      <c r="G1291" s="24">
        <v>2450</v>
      </c>
      <c r="H1291" s="24">
        <v>4400</v>
      </c>
      <c r="I1291" s="24">
        <v>2450</v>
      </c>
      <c r="J1291" s="24">
        <v>4600</v>
      </c>
      <c r="K1291" s="24"/>
      <c r="L1291" s="24"/>
      <c r="M1291" s="24"/>
      <c r="N1291" s="24"/>
      <c r="O1291" s="24"/>
      <c r="P1291" s="2"/>
      <c r="Q1291" s="2"/>
    </row>
    <row r="1292" spans="1:17">
      <c r="A1292" s="2"/>
      <c r="B1292" s="2"/>
      <c r="C1292" s="2"/>
      <c r="D1292" s="2"/>
      <c r="E1292" s="2" t="s">
        <v>517</v>
      </c>
      <c r="F1292" s="24" t="s">
        <v>561</v>
      </c>
      <c r="G1292" s="24">
        <v>50</v>
      </c>
      <c r="H1292" s="24">
        <v>850</v>
      </c>
      <c r="I1292" s="24">
        <f>H1292+1750</f>
        <v>2600</v>
      </c>
      <c r="J1292" s="24">
        <f>I1292+1750</f>
        <v>4350</v>
      </c>
      <c r="L1292" s="24"/>
      <c r="M1292" s="24"/>
      <c r="N1292" s="24"/>
      <c r="O1292" s="24"/>
      <c r="P1292" s="2"/>
      <c r="Q1292" s="2"/>
    </row>
    <row r="1293" spans="1:17">
      <c r="A1293" s="2"/>
      <c r="B1293" s="2"/>
      <c r="C1293" s="2"/>
      <c r="D1293" s="2"/>
      <c r="E1293" s="2" t="s">
        <v>515</v>
      </c>
      <c r="F1293" s="24" t="s">
        <v>562</v>
      </c>
      <c r="G1293" s="24">
        <v>600</v>
      </c>
      <c r="H1293" s="24">
        <v>4700</v>
      </c>
      <c r="I1293" s="24">
        <f>G1293+1750</f>
        <v>2350</v>
      </c>
      <c r="J1293" s="24">
        <f>I1293+1750</f>
        <v>4100</v>
      </c>
      <c r="L1293" s="24"/>
      <c r="M1293" s="24"/>
      <c r="N1293" s="24"/>
      <c r="O1293" s="24"/>
      <c r="P1293" s="2"/>
      <c r="Q1293" s="2"/>
    </row>
    <row r="1294" spans="1:17">
      <c r="A1294" s="2"/>
      <c r="B1294" s="2"/>
      <c r="C1294" s="2"/>
      <c r="D1294">
        <v>4</v>
      </c>
      <c r="E1294" t="s">
        <v>15</v>
      </c>
      <c r="F1294" s="6">
        <v>4</v>
      </c>
      <c r="G1294" s="24"/>
      <c r="H1294" s="24"/>
      <c r="I1294" s="24"/>
      <c r="J1294" s="24"/>
      <c r="K1294" s="24"/>
      <c r="L1294" s="24"/>
      <c r="M1294" s="24"/>
      <c r="N1294" s="24"/>
      <c r="O1294" s="24"/>
      <c r="P1294" s="2"/>
      <c r="Q1294" s="2"/>
    </row>
    <row r="1295" spans="1:17">
      <c r="A1295" s="2"/>
      <c r="B1295" s="2"/>
      <c r="C1295" s="2"/>
      <c r="D1295">
        <v>4</v>
      </c>
      <c r="E1295" t="s">
        <v>15</v>
      </c>
      <c r="F1295" s="6">
        <v>5</v>
      </c>
      <c r="G1295" s="24"/>
      <c r="H1295" s="24"/>
      <c r="I1295" s="24"/>
      <c r="J1295" s="24"/>
      <c r="K1295" s="24"/>
      <c r="L1295" s="24"/>
      <c r="M1295" s="24"/>
      <c r="N1295" s="24"/>
      <c r="O1295" s="24"/>
      <c r="P1295" s="2"/>
      <c r="Q1295" s="2"/>
    </row>
    <row r="1296" spans="1:17">
      <c r="A1296" s="2"/>
      <c r="B1296" s="2"/>
      <c r="C1296" s="2"/>
      <c r="D1296" s="2">
        <f>F1296*2+4</f>
        <v>10</v>
      </c>
      <c r="E1296" s="2" t="s">
        <v>4</v>
      </c>
      <c r="F1296" s="24">
        <v>3</v>
      </c>
      <c r="G1296" s="24">
        <v>700</v>
      </c>
      <c r="H1296" s="24">
        <v>4500</v>
      </c>
      <c r="I1296" s="24">
        <f>G1296</f>
        <v>700</v>
      </c>
      <c r="J1296" s="24">
        <f>H1296-3000</f>
        <v>1500</v>
      </c>
      <c r="K1296" s="24">
        <f>I1296+H1296-J1296</f>
        <v>3700</v>
      </c>
      <c r="L1296" s="24">
        <f>H1296</f>
        <v>4500</v>
      </c>
      <c r="M1296" s="24"/>
      <c r="N1296" s="24"/>
      <c r="O1296" s="24"/>
      <c r="P1296" s="2"/>
      <c r="Q1296" s="2"/>
    </row>
    <row r="1297" spans="1:17">
      <c r="A1297" s="2"/>
      <c r="B1297" s="2"/>
      <c r="C1297" s="2"/>
      <c r="D1297">
        <v>4</v>
      </c>
      <c r="E1297" t="s">
        <v>15</v>
      </c>
      <c r="F1297" s="6">
        <v>7</v>
      </c>
      <c r="G1297" s="24"/>
      <c r="H1297" s="24"/>
      <c r="I1297" s="24"/>
      <c r="J1297" s="24"/>
      <c r="K1297" s="24"/>
      <c r="L1297" s="24"/>
      <c r="M1297" s="24"/>
      <c r="N1297" s="24"/>
      <c r="O1297" s="24"/>
      <c r="P1297" s="2"/>
      <c r="Q1297" s="2"/>
    </row>
    <row r="1298" spans="1:17">
      <c r="A1298" s="2"/>
      <c r="B1298" s="2"/>
      <c r="C1298" s="2"/>
      <c r="D1298" s="2">
        <f>F1298*2+4</f>
        <v>14</v>
      </c>
      <c r="E1298" s="2" t="s">
        <v>4</v>
      </c>
      <c r="F1298" s="24">
        <v>5</v>
      </c>
      <c r="G1298" s="24">
        <f>I1296</f>
        <v>700</v>
      </c>
      <c r="H1298" s="24">
        <f>J1296</f>
        <v>1500</v>
      </c>
      <c r="I1298" s="24">
        <f>K1296</f>
        <v>3700</v>
      </c>
      <c r="J1298" s="24">
        <f>L1296</f>
        <v>4500</v>
      </c>
      <c r="K1298" s="24">
        <v>4200</v>
      </c>
      <c r="L1298" s="24">
        <v>4500</v>
      </c>
      <c r="M1298" s="24">
        <v>4200</v>
      </c>
      <c r="N1298" s="24">
        <v>1000</v>
      </c>
      <c r="O1298" s="24">
        <v>700</v>
      </c>
      <c r="P1298" s="2">
        <v>1000</v>
      </c>
      <c r="Q1298" s="2"/>
    </row>
    <row r="1299" spans="1:17">
      <c r="A1299" s="2"/>
      <c r="B1299" s="2"/>
      <c r="C1299" s="2"/>
      <c r="D1299">
        <v>4</v>
      </c>
      <c r="E1299" t="s">
        <v>15</v>
      </c>
      <c r="F1299" s="6">
        <v>6</v>
      </c>
      <c r="G1299" s="24"/>
      <c r="H1299" s="24"/>
      <c r="I1299" s="24"/>
      <c r="J1299" s="24"/>
      <c r="K1299" s="24"/>
      <c r="L1299" s="24"/>
      <c r="M1299" s="24"/>
      <c r="N1299" s="24"/>
      <c r="O1299" s="24"/>
      <c r="P1299" s="2"/>
      <c r="Q1299" s="2"/>
    </row>
    <row r="1300" spans="1:17">
      <c r="A1300" s="2"/>
      <c r="B1300" s="2"/>
      <c r="C1300" s="2"/>
      <c r="D1300" s="2">
        <f>F1300*2+4</f>
        <v>8</v>
      </c>
      <c r="E1300" s="2" t="s">
        <v>1</v>
      </c>
      <c r="F1300" s="24">
        <v>2</v>
      </c>
      <c r="G1300" s="24">
        <f>I1296</f>
        <v>700</v>
      </c>
      <c r="H1300" s="24">
        <f>J1296</f>
        <v>1500</v>
      </c>
      <c r="I1300" s="24">
        <f>K1296</f>
        <v>3700</v>
      </c>
      <c r="J1300" s="24">
        <f>L1296</f>
        <v>4500</v>
      </c>
      <c r="K1300" s="24"/>
      <c r="L1300" s="24"/>
      <c r="M1300" s="24"/>
      <c r="N1300" s="24"/>
      <c r="O1300" s="24"/>
      <c r="P1300" s="2"/>
      <c r="Q1300" s="2"/>
    </row>
    <row r="1301" spans="1:17">
      <c r="A1301" s="2"/>
      <c r="B1301" s="2"/>
      <c r="C1301" s="2"/>
      <c r="D1301" s="2">
        <f>ROUNDUP(6+F1301/2,0)</f>
        <v>7</v>
      </c>
      <c r="E1301" s="2" t="s">
        <v>6</v>
      </c>
      <c r="F1301" s="24">
        <f>LEN(G1301)</f>
        <v>2</v>
      </c>
      <c r="G1301" s="24" t="s">
        <v>167</v>
      </c>
      <c r="H1301" s="24">
        <v>3800</v>
      </c>
      <c r="I1301" s="24">
        <v>1000</v>
      </c>
      <c r="J1301" s="24"/>
      <c r="K1301" s="24"/>
      <c r="L1301" s="24"/>
      <c r="M1301" s="24"/>
      <c r="N1301" s="24"/>
      <c r="O1301" s="24"/>
      <c r="P1301" s="2"/>
      <c r="Q1301" s="2"/>
    </row>
    <row r="1302" spans="1:17">
      <c r="A1302" s="2"/>
      <c r="B1302" s="2"/>
      <c r="C1302" s="2"/>
      <c r="D1302" s="2">
        <f>ROUNDUP(6+F1302/2,0)</f>
        <v>7</v>
      </c>
      <c r="E1302" s="2" t="s">
        <v>6</v>
      </c>
      <c r="F1302" s="24">
        <f>LEN(G1302)</f>
        <v>2</v>
      </c>
      <c r="G1302" s="24" t="s">
        <v>166</v>
      </c>
      <c r="H1302" s="24">
        <v>1200</v>
      </c>
      <c r="I1302" s="24">
        <v>3400</v>
      </c>
      <c r="J1302" s="24"/>
      <c r="K1302" s="24"/>
      <c r="L1302" s="24"/>
      <c r="M1302" s="24"/>
      <c r="N1302" s="24"/>
      <c r="O1302" s="24"/>
      <c r="P1302" s="2"/>
      <c r="Q1302" s="2"/>
    </row>
    <row r="1303" spans="1:17">
      <c r="A1303" s="2"/>
      <c r="B1303" s="2"/>
      <c r="C1303" s="2"/>
      <c r="D1303">
        <v>5</v>
      </c>
      <c r="E1303" t="s">
        <v>59</v>
      </c>
      <c r="F1303" s="6">
        <v>2</v>
      </c>
      <c r="G1303" s="6">
        <v>0</v>
      </c>
      <c r="H1303" s="24"/>
      <c r="I1303" s="24"/>
      <c r="J1303" s="24"/>
      <c r="K1303" s="24"/>
      <c r="L1303" s="24"/>
      <c r="M1303" s="24"/>
      <c r="N1303" s="24"/>
      <c r="O1303" s="24"/>
      <c r="P1303" s="2"/>
      <c r="Q1303" s="2"/>
    </row>
    <row r="1304" spans="1:17">
      <c r="A1304" s="2"/>
      <c r="B1304" s="2"/>
      <c r="C1304" s="2"/>
      <c r="D1304" s="2">
        <f>ROUNDUP(6+F1304/2,0)</f>
        <v>7</v>
      </c>
      <c r="E1304" s="2" t="s">
        <v>6</v>
      </c>
      <c r="F1304" s="24">
        <f>LEN(G1304)</f>
        <v>1</v>
      </c>
      <c r="G1304" s="24" t="s">
        <v>22</v>
      </c>
      <c r="H1304" s="24">
        <f>(H1300+J1300)/2-200</f>
        <v>2800</v>
      </c>
      <c r="I1304" s="24">
        <f>(I1300+G1300)/2-100</f>
        <v>2100</v>
      </c>
      <c r="J1304" s="24"/>
      <c r="K1304" s="24"/>
      <c r="L1304" s="24"/>
      <c r="M1304" s="24"/>
      <c r="N1304" s="24"/>
      <c r="O1304" s="24"/>
      <c r="P1304" s="2"/>
      <c r="Q1304" s="2"/>
    </row>
    <row r="1305" spans="1:17">
      <c r="A1305" s="2"/>
      <c r="B1305" s="2"/>
      <c r="C1305" s="2"/>
      <c r="D1305">
        <v>4</v>
      </c>
      <c r="E1305" t="s">
        <v>15</v>
      </c>
      <c r="F1305" s="6">
        <v>2</v>
      </c>
      <c r="G1305" s="24"/>
      <c r="H1305" s="24"/>
      <c r="I1305" s="24"/>
      <c r="J1305" s="24"/>
      <c r="K1305" s="24"/>
      <c r="L1305" s="24"/>
      <c r="M1305" s="24"/>
      <c r="N1305" s="24"/>
      <c r="O1305" s="24"/>
      <c r="P1305" s="2"/>
      <c r="Q1305" s="2"/>
    </row>
    <row r="1306" spans="1:17">
      <c r="A1306" s="2"/>
      <c r="B1306" s="2"/>
      <c r="C1306" s="2"/>
      <c r="D1306" s="2">
        <f>F1306*2+4</f>
        <v>8</v>
      </c>
      <c r="E1306" s="2" t="s">
        <v>1</v>
      </c>
      <c r="F1306" s="24">
        <v>2</v>
      </c>
      <c r="G1306" s="24">
        <v>700</v>
      </c>
      <c r="H1306" s="24">
        <v>1000</v>
      </c>
      <c r="I1306" s="24">
        <f>G1306+3500</f>
        <v>4200</v>
      </c>
      <c r="J1306" s="24">
        <f>H1306+3500</f>
        <v>4500</v>
      </c>
      <c r="K1306" s="24"/>
      <c r="L1306" s="24"/>
      <c r="M1306" s="24"/>
      <c r="N1306" s="24"/>
      <c r="O1306" s="24"/>
      <c r="P1306" s="2"/>
      <c r="Q1306" s="2"/>
    </row>
    <row r="1307" spans="1:17">
      <c r="A1307" s="2"/>
      <c r="B1307" s="2"/>
      <c r="C1307" s="2"/>
      <c r="D1307" s="2">
        <f>ROUNDUP(6+F1307/2,0)</f>
        <v>7</v>
      </c>
      <c r="E1307" s="2" t="s">
        <v>6</v>
      </c>
      <c r="F1307" s="24">
        <f>LEN(G1307)</f>
        <v>1</v>
      </c>
      <c r="G1307" s="24">
        <v>2</v>
      </c>
      <c r="H1307" s="24">
        <v>2500</v>
      </c>
      <c r="I1307" s="24">
        <v>2400</v>
      </c>
      <c r="J1307" s="24"/>
      <c r="K1307" s="24"/>
      <c r="L1307" s="24"/>
      <c r="M1307" s="24"/>
      <c r="N1307" s="24"/>
      <c r="O1307" s="24"/>
      <c r="P1307" s="2"/>
      <c r="Q1307" s="2"/>
    </row>
    <row r="1309" spans="1:17">
      <c r="B1309" t="s">
        <v>168</v>
      </c>
      <c r="D1309">
        <v>4</v>
      </c>
      <c r="E1309" t="s">
        <v>15</v>
      </c>
      <c r="F1309" s="6">
        <v>7</v>
      </c>
      <c r="G1309" s="24"/>
      <c r="H1309" s="24"/>
      <c r="I1309" s="24"/>
      <c r="J1309" s="24"/>
      <c r="K1309" s="24"/>
      <c r="L1309" s="24"/>
      <c r="M1309" s="24"/>
      <c r="N1309" s="24"/>
      <c r="O1309" s="24"/>
      <c r="P1309" s="2"/>
    </row>
    <row r="1310" spans="1:17">
      <c r="D1310">
        <v>4</v>
      </c>
      <c r="E1310" t="s">
        <v>15</v>
      </c>
      <c r="F1310" s="6">
        <v>5</v>
      </c>
      <c r="G1310" s="24"/>
      <c r="H1310" s="24"/>
      <c r="I1310" s="24"/>
      <c r="J1310" s="24"/>
      <c r="K1310" s="24"/>
      <c r="L1310" s="24"/>
      <c r="M1310" s="24"/>
      <c r="N1310" s="24"/>
      <c r="O1310" s="24"/>
      <c r="P1310" s="2"/>
    </row>
    <row r="1311" spans="1:17">
      <c r="D1311" s="2">
        <f>F1311*2+4</f>
        <v>10</v>
      </c>
      <c r="E1311" s="2" t="s">
        <v>4</v>
      </c>
      <c r="F1311" s="24">
        <v>3</v>
      </c>
      <c r="G1311" s="24">
        <v>4200</v>
      </c>
      <c r="H1311" s="24">
        <v>1000</v>
      </c>
      <c r="I1311" s="24">
        <f>G1311</f>
        <v>4200</v>
      </c>
      <c r="J1311" s="24">
        <f>H1311+2500</f>
        <v>3500</v>
      </c>
      <c r="K1311" s="24">
        <f>I1311+H1311-J1311</f>
        <v>1700</v>
      </c>
      <c r="L1311" s="24">
        <f>H1311</f>
        <v>1000</v>
      </c>
      <c r="M1311" s="24"/>
      <c r="N1311" s="24"/>
      <c r="O1311" s="24"/>
      <c r="P1311" s="2"/>
    </row>
    <row r="1312" spans="1:17">
      <c r="D1312">
        <v>4</v>
      </c>
      <c r="E1312" t="s">
        <v>15</v>
      </c>
      <c r="F1312" s="6">
        <v>4</v>
      </c>
      <c r="G1312" s="24"/>
      <c r="H1312" s="24"/>
      <c r="I1312" s="24"/>
      <c r="J1312" s="24"/>
      <c r="K1312" s="24"/>
      <c r="L1312" s="24"/>
      <c r="M1312" s="24"/>
      <c r="N1312" s="24"/>
      <c r="O1312" s="24"/>
      <c r="P1312" s="2"/>
    </row>
    <row r="1313" spans="1:18">
      <c r="D1313" s="2">
        <f>F1313*2+4</f>
        <v>14</v>
      </c>
      <c r="E1313" s="2" t="s">
        <v>4</v>
      </c>
      <c r="F1313" s="24">
        <v>5</v>
      </c>
      <c r="G1313" s="24">
        <f>I1311</f>
        <v>4200</v>
      </c>
      <c r="H1313" s="24">
        <f>J1311</f>
        <v>3500</v>
      </c>
      <c r="I1313" s="24">
        <f>K1311</f>
        <v>1700</v>
      </c>
      <c r="J1313" s="24">
        <f>L1311</f>
        <v>1000</v>
      </c>
      <c r="K1313" s="24">
        <v>700</v>
      </c>
      <c r="L1313" s="24">
        <v>1000</v>
      </c>
      <c r="M1313" s="24">
        <v>700</v>
      </c>
      <c r="N1313" s="24">
        <v>4500</v>
      </c>
      <c r="O1313" s="24">
        <v>4200</v>
      </c>
      <c r="P1313" s="2">
        <v>4500</v>
      </c>
    </row>
    <row r="1316" spans="1:18">
      <c r="A1316" s="48" t="s">
        <v>383</v>
      </c>
      <c r="B1316" s="1" t="s">
        <v>163</v>
      </c>
      <c r="D1316" t="s">
        <v>449</v>
      </c>
      <c r="E1316">
        <v>52695</v>
      </c>
      <c r="F1316" s="6">
        <v>39622</v>
      </c>
      <c r="G1316" s="6">
        <v>0</v>
      </c>
      <c r="H1316" s="6">
        <v>0</v>
      </c>
      <c r="I1316" s="6">
        <v>0</v>
      </c>
      <c r="J1316" s="6">
        <v>6000</v>
      </c>
      <c r="K1316" s="6">
        <v>5100</v>
      </c>
      <c r="L1316" s="6">
        <v>1920</v>
      </c>
      <c r="M1316" s="6">
        <v>0</v>
      </c>
      <c r="N1316" s="6">
        <v>0</v>
      </c>
      <c r="O1316" s="6" t="e">
        <f ca="1">checksummeint(G1316,H1316,I1316,J1316,K1316,L1316,M1316,N1316)</f>
        <v>#NAME?</v>
      </c>
    </row>
    <row r="1317" spans="1:18">
      <c r="A1317" s="1"/>
      <c r="C1317">
        <v>0</v>
      </c>
      <c r="D1317">
        <v>28</v>
      </c>
      <c r="E1317" t="s">
        <v>12</v>
      </c>
      <c r="F1317" s="6">
        <v>360</v>
      </c>
      <c r="G1317" s="6">
        <v>0</v>
      </c>
      <c r="H1317" s="6">
        <v>0</v>
      </c>
      <c r="I1317" s="6">
        <v>0</v>
      </c>
      <c r="J1317" s="6">
        <v>400</v>
      </c>
      <c r="K1317" s="6">
        <v>0</v>
      </c>
      <c r="L1317" s="6">
        <v>0</v>
      </c>
      <c r="M1317" s="6">
        <v>0</v>
      </c>
      <c r="N1317" s="6">
        <v>0</v>
      </c>
      <c r="O1317" s="6" t="s">
        <v>19</v>
      </c>
    </row>
    <row r="1318" spans="1:18">
      <c r="D1318">
        <v>5</v>
      </c>
      <c r="E1318" t="s">
        <v>59</v>
      </c>
      <c r="F1318" s="6">
        <v>1</v>
      </c>
      <c r="G1318" s="6">
        <v>0</v>
      </c>
    </row>
    <row r="1319" spans="1:18">
      <c r="C1319">
        <v>1</v>
      </c>
      <c r="D1319">
        <v>8</v>
      </c>
      <c r="E1319" t="s">
        <v>14</v>
      </c>
      <c r="F1319" s="6">
        <v>0</v>
      </c>
      <c r="G1319" s="6">
        <v>16</v>
      </c>
      <c r="H1319" s="6">
        <v>0</v>
      </c>
      <c r="I1319" s="6">
        <v>0</v>
      </c>
      <c r="J1319" s="6">
        <v>0</v>
      </c>
      <c r="M1319" s="44"/>
      <c r="N1319" s="45"/>
      <c r="O1319" s="46"/>
    </row>
    <row r="1320" spans="1:18">
      <c r="C1320">
        <v>2</v>
      </c>
      <c r="D1320">
        <v>8</v>
      </c>
      <c r="E1320" t="s">
        <v>14</v>
      </c>
      <c r="F1320" s="6">
        <v>2</v>
      </c>
      <c r="G1320" s="6">
        <v>16</v>
      </c>
      <c r="H1320" s="6">
        <v>0</v>
      </c>
      <c r="I1320" s="6">
        <v>0</v>
      </c>
      <c r="J1320" s="6">
        <v>0</v>
      </c>
    </row>
    <row r="1321" spans="1:18">
      <c r="C1321">
        <v>3</v>
      </c>
      <c r="D1321">
        <v>7</v>
      </c>
      <c r="E1321" t="s">
        <v>11</v>
      </c>
      <c r="F1321" s="6">
        <v>0</v>
      </c>
      <c r="G1321" s="24">
        <v>0</v>
      </c>
      <c r="H1321" s="24">
        <v>0</v>
      </c>
      <c r="I1321" s="6">
        <v>0</v>
      </c>
    </row>
    <row r="1322" spans="1:18">
      <c r="C1322">
        <v>4</v>
      </c>
      <c r="D1322">
        <v>7</v>
      </c>
      <c r="E1322" t="s">
        <v>11</v>
      </c>
      <c r="F1322" s="6">
        <v>0</v>
      </c>
      <c r="G1322" s="6">
        <f>257*192</f>
        <v>49344</v>
      </c>
      <c r="H1322" s="6">
        <v>192</v>
      </c>
      <c r="I1322" s="6">
        <v>0</v>
      </c>
    </row>
    <row r="1323" spans="1:18">
      <c r="C1323">
        <v>5</v>
      </c>
      <c r="D1323">
        <v>28</v>
      </c>
      <c r="E1323" t="s">
        <v>12</v>
      </c>
      <c r="F1323" s="6">
        <f>F1317*1.4</f>
        <v>503.99999999999994</v>
      </c>
      <c r="G1323" s="6">
        <v>0</v>
      </c>
      <c r="H1323" s="6">
        <v>0</v>
      </c>
      <c r="I1323" s="6">
        <v>0</v>
      </c>
      <c r="J1323" s="6">
        <v>700</v>
      </c>
      <c r="K1323" s="6">
        <v>0</v>
      </c>
      <c r="L1323" s="6">
        <v>0</v>
      </c>
      <c r="M1323" s="6">
        <v>0</v>
      </c>
      <c r="N1323" s="6">
        <v>0</v>
      </c>
      <c r="O1323" s="6" t="s">
        <v>19</v>
      </c>
    </row>
    <row r="1324" spans="1:18">
      <c r="C1324">
        <v>6</v>
      </c>
      <c r="D1324">
        <v>8</v>
      </c>
      <c r="E1324" t="s">
        <v>14</v>
      </c>
      <c r="F1324" s="6">
        <v>0</v>
      </c>
      <c r="G1324" s="6">
        <v>48</v>
      </c>
      <c r="H1324" s="6">
        <v>0</v>
      </c>
      <c r="I1324" s="6">
        <v>0</v>
      </c>
      <c r="J1324" s="6">
        <v>0</v>
      </c>
    </row>
    <row r="1325" spans="1:18">
      <c r="C1325">
        <v>7</v>
      </c>
      <c r="D1325">
        <v>7</v>
      </c>
      <c r="E1325" t="s">
        <v>11</v>
      </c>
      <c r="F1325" s="6">
        <v>0</v>
      </c>
      <c r="G1325" s="6">
        <f>257*224</f>
        <v>57568</v>
      </c>
      <c r="H1325" s="6">
        <v>224</v>
      </c>
      <c r="I1325" s="6">
        <v>0</v>
      </c>
    </row>
    <row r="1326" spans="1:18">
      <c r="D1326">
        <v>4</v>
      </c>
      <c r="E1326" t="s">
        <v>15</v>
      </c>
      <c r="F1326" s="6">
        <v>0</v>
      </c>
      <c r="G1326" s="24"/>
    </row>
    <row r="1327" spans="1:18">
      <c r="D1327">
        <v>4</v>
      </c>
      <c r="E1327" t="s">
        <v>15</v>
      </c>
      <c r="F1327" s="6">
        <v>3</v>
      </c>
    </row>
    <row r="1328" spans="1:18">
      <c r="A1328" s="2"/>
      <c r="B1328" s="2"/>
      <c r="C1328" s="2"/>
      <c r="D1328">
        <v>4</v>
      </c>
      <c r="E1328" t="s">
        <v>15</v>
      </c>
      <c r="F1328" s="6">
        <v>1</v>
      </c>
      <c r="G1328" s="24"/>
      <c r="K1328" s="24"/>
      <c r="L1328" s="24"/>
      <c r="M1328" s="24"/>
      <c r="N1328" s="24"/>
      <c r="O1328" s="24"/>
      <c r="P1328" s="2"/>
      <c r="Q1328" s="2"/>
      <c r="R1328" s="2"/>
    </row>
    <row r="1329" spans="1:18">
      <c r="A1329" s="2"/>
      <c r="B1329" s="2"/>
      <c r="C1329" s="2"/>
      <c r="D1329" s="2">
        <f>ROUNDUP(6+F1329/2,0)</f>
        <v>10</v>
      </c>
      <c r="E1329" s="2" t="s">
        <v>6</v>
      </c>
      <c r="F1329" s="24">
        <f>LEN(G1329)</f>
        <v>8</v>
      </c>
      <c r="G1329" s="24" t="s">
        <v>165</v>
      </c>
      <c r="H1329" s="24">
        <v>50</v>
      </c>
      <c r="I1329" s="24">
        <v>150</v>
      </c>
      <c r="J1329" s="24"/>
      <c r="K1329" s="24"/>
      <c r="L1329" s="24"/>
      <c r="M1329" s="24"/>
      <c r="N1329" s="24"/>
      <c r="O1329" s="24"/>
      <c r="P1329" s="2"/>
      <c r="Q1329" s="2"/>
      <c r="R1329" s="2"/>
    </row>
    <row r="1330" spans="1:18">
      <c r="A1330" s="2"/>
      <c r="B1330" s="2"/>
      <c r="C1330" s="2"/>
      <c r="D1330" s="2">
        <f>ROUNDUP(6+F1330/2,0)</f>
        <v>10</v>
      </c>
      <c r="E1330" s="2" t="s">
        <v>6</v>
      </c>
      <c r="F1330" s="24">
        <f>LEN(G1330)</f>
        <v>8</v>
      </c>
      <c r="G1330" s="24" t="s">
        <v>164</v>
      </c>
      <c r="H1330" s="24">
        <v>4350</v>
      </c>
      <c r="I1330" s="24">
        <v>4900</v>
      </c>
      <c r="J1330" s="24"/>
      <c r="K1330" s="24"/>
      <c r="L1330" s="24"/>
      <c r="M1330" s="24"/>
      <c r="N1330" s="24"/>
      <c r="O1330" s="24"/>
      <c r="P1330" s="2"/>
      <c r="Q1330" s="2"/>
      <c r="R1330" s="2"/>
    </row>
    <row r="1331" spans="1:18">
      <c r="A1331" s="2"/>
      <c r="B1331" s="2"/>
      <c r="C1331" s="2"/>
      <c r="D1331" s="2">
        <v>18</v>
      </c>
      <c r="E1331" s="2" t="s">
        <v>111</v>
      </c>
      <c r="F1331" s="24">
        <v>200</v>
      </c>
      <c r="G1331" s="24">
        <v>700</v>
      </c>
      <c r="H1331" s="24">
        <v>4600</v>
      </c>
      <c r="I1331" s="24">
        <v>700</v>
      </c>
      <c r="J1331" s="24">
        <v>500</v>
      </c>
      <c r="K1331" s="24"/>
      <c r="L1331" s="24"/>
      <c r="M1331" s="24"/>
      <c r="N1331" s="24"/>
      <c r="O1331" s="24"/>
      <c r="P1331" s="2"/>
      <c r="Q1331" s="2"/>
      <c r="R1331" s="2"/>
    </row>
    <row r="1332" spans="1:18">
      <c r="A1332" s="2"/>
      <c r="B1332" s="2"/>
      <c r="C1332" s="2"/>
      <c r="D1332" s="2">
        <v>18</v>
      </c>
      <c r="E1332" s="2" t="s">
        <v>111</v>
      </c>
      <c r="F1332" s="24">
        <v>200</v>
      </c>
      <c r="G1332" s="24">
        <v>600</v>
      </c>
      <c r="H1332" s="24">
        <v>4500</v>
      </c>
      <c r="I1332" s="24">
        <v>4700</v>
      </c>
      <c r="J1332" s="24">
        <v>4500</v>
      </c>
      <c r="K1332" s="24"/>
      <c r="L1332" s="24"/>
      <c r="M1332" s="24"/>
      <c r="N1332" s="24"/>
      <c r="O1332" s="24"/>
      <c r="P1332" s="2"/>
      <c r="Q1332" s="2"/>
      <c r="R1332" s="2"/>
    </row>
    <row r="1333" spans="1:18">
      <c r="A1333" s="2"/>
      <c r="B1333" s="2"/>
      <c r="C1333" s="2"/>
      <c r="D1333" s="2">
        <f>F1333*2+4</f>
        <v>10</v>
      </c>
      <c r="E1333" s="2" t="s">
        <v>1</v>
      </c>
      <c r="F1333" s="24">
        <v>3</v>
      </c>
      <c r="G1333" s="24">
        <v>600</v>
      </c>
      <c r="H1333" s="24">
        <v>1000</v>
      </c>
      <c r="I1333" s="24">
        <v>4200</v>
      </c>
      <c r="J1333" s="24">
        <v>1000</v>
      </c>
      <c r="K1333" s="24">
        <v>4200</v>
      </c>
      <c r="L1333" s="24">
        <v>4600</v>
      </c>
      <c r="M1333" s="24"/>
      <c r="N1333" s="24"/>
      <c r="O1333" s="24"/>
      <c r="P1333" s="2"/>
      <c r="Q1333" s="2"/>
      <c r="R1333" s="2"/>
    </row>
    <row r="1334" spans="1:18">
      <c r="A1334" s="2"/>
      <c r="B1334" s="2"/>
      <c r="C1334" s="2"/>
      <c r="D1334" s="2">
        <f>F1334*2+4</f>
        <v>8</v>
      </c>
      <c r="E1334" s="2" t="s">
        <v>1</v>
      </c>
      <c r="F1334" s="24">
        <v>2</v>
      </c>
      <c r="G1334" s="24">
        <v>600</v>
      </c>
      <c r="H1334" s="24">
        <v>2750</v>
      </c>
      <c r="I1334" s="24">
        <v>800</v>
      </c>
      <c r="J1334" s="24">
        <v>2750</v>
      </c>
      <c r="K1334" s="24"/>
      <c r="L1334" s="24"/>
      <c r="M1334" s="24"/>
      <c r="N1334" s="24"/>
      <c r="O1334" s="24"/>
      <c r="P1334" s="2"/>
      <c r="Q1334" s="2"/>
      <c r="R1334" s="2"/>
    </row>
    <row r="1335" spans="1:18">
      <c r="A1335" s="2"/>
      <c r="B1335" s="2"/>
      <c r="C1335" s="2"/>
      <c r="D1335" s="2">
        <f>F1335*2+4</f>
        <v>8</v>
      </c>
      <c r="E1335" s="2" t="s">
        <v>1</v>
      </c>
      <c r="F1335" s="24">
        <v>2</v>
      </c>
      <c r="G1335" s="24">
        <v>600</v>
      </c>
      <c r="H1335" s="24">
        <v>2000</v>
      </c>
      <c r="I1335" s="24">
        <v>800</v>
      </c>
      <c r="J1335" s="24">
        <f>H1335</f>
        <v>2000</v>
      </c>
      <c r="K1335" s="24"/>
      <c r="L1335" s="24"/>
      <c r="M1335" s="24"/>
      <c r="N1335" s="24"/>
      <c r="O1335" s="24"/>
      <c r="P1335" s="2"/>
      <c r="Q1335" s="2"/>
      <c r="R1335" s="2"/>
    </row>
    <row r="1336" spans="1:18">
      <c r="A1336" s="2"/>
      <c r="B1336" s="2"/>
      <c r="C1336" s="2"/>
      <c r="D1336" s="2">
        <f>F1336*2+4</f>
        <v>8</v>
      </c>
      <c r="E1336" s="2" t="s">
        <v>1</v>
      </c>
      <c r="F1336" s="24">
        <v>2</v>
      </c>
      <c r="G1336" s="24">
        <v>2450</v>
      </c>
      <c r="H1336" s="24">
        <v>4400</v>
      </c>
      <c r="I1336" s="24">
        <v>2450</v>
      </c>
      <c r="J1336" s="24">
        <v>4600</v>
      </c>
      <c r="K1336" s="24"/>
      <c r="L1336" s="24"/>
      <c r="M1336" s="24"/>
      <c r="N1336" s="24"/>
      <c r="O1336" s="24"/>
      <c r="P1336" s="2"/>
      <c r="Q1336" s="2"/>
      <c r="R1336" s="2"/>
    </row>
    <row r="1337" spans="1:18">
      <c r="A1337" s="2"/>
      <c r="B1337" s="2"/>
      <c r="C1337" s="2"/>
      <c r="D1337" s="2"/>
      <c r="E1337" s="2" t="s">
        <v>517</v>
      </c>
      <c r="F1337" s="24" t="s">
        <v>563</v>
      </c>
      <c r="G1337" s="24">
        <v>50</v>
      </c>
      <c r="H1337" s="24">
        <v>850</v>
      </c>
      <c r="I1337" s="24">
        <f>H1337+1750</f>
        <v>2600</v>
      </c>
      <c r="J1337" s="24">
        <v>1850</v>
      </c>
      <c r="K1337" s="24">
        <f>I1337+1750</f>
        <v>4350</v>
      </c>
      <c r="L1337" s="24"/>
      <c r="M1337" s="24"/>
      <c r="N1337" s="24"/>
      <c r="O1337" s="24"/>
      <c r="P1337" s="2"/>
      <c r="Q1337" s="2"/>
      <c r="R1337" s="2"/>
    </row>
    <row r="1338" spans="1:18">
      <c r="A1338" s="2"/>
      <c r="B1338" s="2"/>
      <c r="C1338" s="2"/>
      <c r="D1338" s="2">
        <f>ROUNDUP(6+F1338/2,0)</f>
        <v>9</v>
      </c>
      <c r="E1338" s="2" t="s">
        <v>6</v>
      </c>
      <c r="F1338" s="24">
        <f>LEN(G1338)</f>
        <v>5</v>
      </c>
      <c r="G1338" s="24" t="s">
        <v>172</v>
      </c>
      <c r="H1338" s="24">
        <v>2850</v>
      </c>
      <c r="I1338" s="24">
        <v>4300</v>
      </c>
      <c r="J1338" s="24"/>
      <c r="K1338" s="24"/>
      <c r="L1338" s="24"/>
      <c r="M1338" s="24"/>
      <c r="N1338" s="24"/>
      <c r="O1338" s="24"/>
      <c r="P1338" s="2"/>
      <c r="Q1338" s="2"/>
      <c r="R1338" s="2"/>
    </row>
    <row r="1339" spans="1:18">
      <c r="A1339" s="2"/>
      <c r="B1339" s="2"/>
      <c r="C1339" s="2"/>
      <c r="D1339" s="2"/>
      <c r="E1339" s="2" t="s">
        <v>515</v>
      </c>
      <c r="F1339" s="24" t="s">
        <v>562</v>
      </c>
      <c r="G1339" s="24">
        <v>600</v>
      </c>
      <c r="H1339" s="24">
        <v>4700</v>
      </c>
      <c r="I1339" s="24">
        <f>G1339+1750</f>
        <v>2350</v>
      </c>
      <c r="J1339" s="24">
        <f>I1339+1750</f>
        <v>4100</v>
      </c>
      <c r="L1339" s="24"/>
      <c r="M1339" s="24"/>
      <c r="N1339" s="24"/>
      <c r="O1339" s="24"/>
      <c r="P1339" s="2"/>
      <c r="Q1339" s="2"/>
      <c r="R1339" s="2"/>
    </row>
    <row r="1340" spans="1:18">
      <c r="A1340" s="2"/>
      <c r="B1340" s="2"/>
      <c r="C1340" s="2"/>
      <c r="D1340">
        <v>4</v>
      </c>
      <c r="E1340" t="s">
        <v>15</v>
      </c>
      <c r="F1340" s="6">
        <v>4</v>
      </c>
      <c r="G1340" s="24"/>
      <c r="H1340" s="24"/>
      <c r="I1340" s="24"/>
      <c r="J1340" s="24"/>
      <c r="K1340" s="24"/>
      <c r="L1340" s="24"/>
      <c r="M1340" s="24"/>
      <c r="N1340" s="24"/>
      <c r="O1340" s="24"/>
      <c r="P1340" s="2"/>
      <c r="Q1340" s="2"/>
      <c r="R1340" s="2"/>
    </row>
    <row r="1341" spans="1:18">
      <c r="A1341" s="2"/>
      <c r="B1341" s="2"/>
      <c r="C1341" s="2"/>
      <c r="D1341">
        <v>4</v>
      </c>
      <c r="E1341" t="s">
        <v>15</v>
      </c>
      <c r="F1341" s="6">
        <v>5</v>
      </c>
      <c r="G1341" s="24"/>
      <c r="H1341" s="24"/>
      <c r="I1341" s="24"/>
      <c r="J1341" s="24"/>
      <c r="K1341" s="24"/>
      <c r="L1341" s="24"/>
      <c r="M1341" s="24"/>
      <c r="N1341" s="24"/>
      <c r="O1341" s="24"/>
      <c r="P1341" s="2"/>
      <c r="Q1341" s="2"/>
      <c r="R1341" s="2"/>
    </row>
    <row r="1342" spans="1:18">
      <c r="A1342" s="2"/>
      <c r="B1342" s="2"/>
      <c r="C1342" s="2"/>
      <c r="D1342" s="2">
        <f>F1342*2+4</f>
        <v>10</v>
      </c>
      <c r="E1342" s="2" t="s">
        <v>4</v>
      </c>
      <c r="F1342" s="24">
        <v>3</v>
      </c>
      <c r="G1342" s="24">
        <v>700</v>
      </c>
      <c r="H1342" s="24">
        <v>4500</v>
      </c>
      <c r="I1342" s="24">
        <f>G1342</f>
        <v>700</v>
      </c>
      <c r="J1342" s="24">
        <f>H1342-1500</f>
        <v>3000</v>
      </c>
      <c r="K1342" s="24">
        <f>I1342+H1342-J1342</f>
        <v>2200</v>
      </c>
      <c r="L1342" s="24">
        <f>H1342</f>
        <v>4500</v>
      </c>
      <c r="M1342" s="24"/>
      <c r="N1342" s="24"/>
      <c r="O1342" s="24"/>
      <c r="P1342" s="2"/>
      <c r="Q1342" s="2"/>
      <c r="R1342" s="2"/>
    </row>
    <row r="1343" spans="1:18">
      <c r="A1343" s="2"/>
      <c r="B1343" s="2"/>
      <c r="C1343" s="2"/>
      <c r="D1343">
        <v>4</v>
      </c>
      <c r="E1343" t="s">
        <v>15</v>
      </c>
      <c r="F1343" s="6">
        <v>7</v>
      </c>
      <c r="G1343" s="24"/>
      <c r="H1343" s="24"/>
      <c r="I1343" s="24"/>
      <c r="J1343" s="24"/>
      <c r="K1343" s="24"/>
      <c r="L1343" s="24"/>
      <c r="M1343" s="24"/>
      <c r="N1343" s="24"/>
      <c r="O1343" s="24"/>
      <c r="P1343" s="2"/>
      <c r="Q1343" s="2"/>
      <c r="R1343" s="2"/>
    </row>
    <row r="1344" spans="1:18">
      <c r="A1344" s="2"/>
      <c r="B1344" s="2"/>
      <c r="C1344" s="2"/>
      <c r="D1344" s="2">
        <f>F1344*2+4</f>
        <v>14</v>
      </c>
      <c r="E1344" s="2" t="s">
        <v>4</v>
      </c>
      <c r="F1344" s="24">
        <v>5</v>
      </c>
      <c r="G1344" s="24">
        <f>I1342</f>
        <v>700</v>
      </c>
      <c r="H1344" s="24">
        <f>J1342</f>
        <v>3000</v>
      </c>
      <c r="I1344" s="24">
        <f>K1342</f>
        <v>2200</v>
      </c>
      <c r="J1344" s="24">
        <f>L1342</f>
        <v>4500</v>
      </c>
      <c r="K1344" s="24">
        <v>4200</v>
      </c>
      <c r="L1344" s="24">
        <v>4500</v>
      </c>
      <c r="M1344" s="24">
        <v>4200</v>
      </c>
      <c r="N1344" s="24">
        <v>2000</v>
      </c>
      <c r="O1344" s="24">
        <v>700</v>
      </c>
      <c r="P1344" s="2">
        <v>2000</v>
      </c>
      <c r="Q1344" s="2"/>
      <c r="R1344" s="2"/>
    </row>
    <row r="1345" spans="1:18">
      <c r="A1345" s="2"/>
      <c r="B1345" s="2"/>
      <c r="C1345" s="2"/>
      <c r="D1345" s="2">
        <f>F1345*2+4</f>
        <v>8</v>
      </c>
      <c r="E1345" s="2" t="s">
        <v>1</v>
      </c>
      <c r="F1345" s="24">
        <v>2</v>
      </c>
      <c r="G1345" s="24">
        <v>4300</v>
      </c>
      <c r="H1345" s="24">
        <f>J1345</f>
        <v>3000</v>
      </c>
      <c r="I1345" s="24">
        <v>600</v>
      </c>
      <c r="J1345" s="24">
        <f>H1347</f>
        <v>3000</v>
      </c>
      <c r="K1345" s="24"/>
      <c r="L1345" s="24"/>
      <c r="M1345" s="24"/>
      <c r="N1345" s="24"/>
      <c r="O1345" s="24"/>
      <c r="P1345" s="2"/>
      <c r="Q1345" s="2"/>
      <c r="R1345" s="2"/>
    </row>
    <row r="1346" spans="1:18">
      <c r="A1346" s="2"/>
      <c r="B1346" s="2"/>
      <c r="C1346" s="2"/>
      <c r="D1346">
        <v>4</v>
      </c>
      <c r="E1346" t="s">
        <v>15</v>
      </c>
      <c r="F1346" s="6">
        <v>6</v>
      </c>
      <c r="G1346" s="24"/>
      <c r="H1346" s="24"/>
      <c r="I1346" s="24"/>
      <c r="J1346" s="24"/>
      <c r="K1346" s="24"/>
      <c r="L1346" s="24"/>
      <c r="M1346" s="24"/>
      <c r="N1346" s="24"/>
      <c r="O1346" s="24"/>
      <c r="P1346" s="2"/>
      <c r="Q1346" s="2"/>
      <c r="R1346" s="2"/>
    </row>
    <row r="1347" spans="1:18">
      <c r="A1347" s="2"/>
      <c r="B1347" s="2"/>
      <c r="C1347" s="2"/>
      <c r="D1347" s="2">
        <f>F1347*2+4</f>
        <v>8</v>
      </c>
      <c r="E1347" s="2" t="s">
        <v>1</v>
      </c>
      <c r="F1347" s="24">
        <v>2</v>
      </c>
      <c r="G1347" s="24">
        <f>I1342</f>
        <v>700</v>
      </c>
      <c r="H1347" s="24">
        <f>J1342</f>
        <v>3000</v>
      </c>
      <c r="I1347" s="24">
        <f>K1342</f>
        <v>2200</v>
      </c>
      <c r="J1347" s="24">
        <f>L1342</f>
        <v>4500</v>
      </c>
      <c r="K1347" s="24"/>
      <c r="L1347" s="24"/>
      <c r="M1347" s="24"/>
      <c r="N1347" s="24"/>
      <c r="O1347" s="24"/>
      <c r="P1347" s="2"/>
      <c r="Q1347" s="2"/>
      <c r="R1347" s="2"/>
    </row>
    <row r="1348" spans="1:18">
      <c r="A1348" s="2"/>
      <c r="B1348" s="2"/>
      <c r="C1348" s="2"/>
      <c r="D1348" s="2">
        <f>ROUNDUP(6+F1348/2,0)</f>
        <v>8</v>
      </c>
      <c r="E1348" s="2" t="s">
        <v>6</v>
      </c>
      <c r="F1348" s="24">
        <f>LEN(G1348)</f>
        <v>3</v>
      </c>
      <c r="G1348" s="24" t="s">
        <v>169</v>
      </c>
      <c r="H1348" s="24">
        <v>3800</v>
      </c>
      <c r="I1348" s="24">
        <v>750</v>
      </c>
      <c r="J1348" s="24"/>
      <c r="K1348" s="24"/>
      <c r="L1348" s="24"/>
      <c r="M1348" s="24"/>
      <c r="N1348" s="24"/>
      <c r="O1348" s="24"/>
      <c r="P1348" s="2"/>
      <c r="Q1348" s="2"/>
      <c r="R1348" s="2"/>
    </row>
    <row r="1349" spans="1:18">
      <c r="A1349" s="2"/>
      <c r="B1349" s="2"/>
      <c r="C1349" s="2"/>
      <c r="D1349" s="2">
        <f>ROUNDUP(6+F1349/2,0)</f>
        <v>8</v>
      </c>
      <c r="E1349" s="2" t="s">
        <v>6</v>
      </c>
      <c r="F1349" s="24">
        <f>LEN(G1349)</f>
        <v>3</v>
      </c>
      <c r="G1349" s="24" t="s">
        <v>171</v>
      </c>
      <c r="H1349" s="24">
        <f>H1348</f>
        <v>3800</v>
      </c>
      <c r="I1349" s="24">
        <v>2700</v>
      </c>
      <c r="J1349" s="24"/>
      <c r="K1349" s="24"/>
      <c r="L1349" s="24"/>
      <c r="M1349" s="24"/>
      <c r="N1349" s="24"/>
      <c r="O1349" s="24"/>
      <c r="P1349" s="2"/>
      <c r="Q1349" s="2"/>
      <c r="R1349" s="2"/>
    </row>
    <row r="1350" spans="1:18">
      <c r="A1350" s="2"/>
      <c r="B1350" s="2"/>
      <c r="C1350" s="2"/>
      <c r="D1350" s="2">
        <f>ROUNDUP(6+F1350/2,0)</f>
        <v>7</v>
      </c>
      <c r="E1350" s="2" t="s">
        <v>6</v>
      </c>
      <c r="F1350" s="24">
        <f>LEN(G1350)</f>
        <v>2</v>
      </c>
      <c r="G1350" s="24" t="s">
        <v>170</v>
      </c>
      <c r="H1350" s="24">
        <v>1200</v>
      </c>
      <c r="I1350" s="24">
        <v>3400</v>
      </c>
      <c r="J1350" s="24"/>
      <c r="K1350" s="24"/>
      <c r="L1350" s="24"/>
      <c r="M1350" s="24"/>
      <c r="N1350" s="24"/>
      <c r="O1350" s="24"/>
      <c r="P1350" s="2"/>
      <c r="Q1350" s="2"/>
      <c r="R1350" s="2"/>
    </row>
    <row r="1351" spans="1:18">
      <c r="A1351" s="2"/>
      <c r="B1351" s="2"/>
      <c r="C1351" s="2"/>
      <c r="D1351" s="2">
        <f>ROUNDUP(6+F1351/2,0)</f>
        <v>7</v>
      </c>
      <c r="E1351" s="2" t="s">
        <v>6</v>
      </c>
      <c r="F1351" s="24">
        <f>LEN(G1351)</f>
        <v>2</v>
      </c>
      <c r="G1351" s="24" t="s">
        <v>166</v>
      </c>
      <c r="H1351" s="24">
        <v>2400</v>
      </c>
      <c r="I1351" s="24">
        <f>I1350</f>
        <v>3400</v>
      </c>
      <c r="J1351" s="24"/>
      <c r="K1351" s="24"/>
      <c r="L1351" s="24"/>
      <c r="M1351" s="24"/>
      <c r="N1351" s="24"/>
      <c r="O1351" s="24"/>
      <c r="P1351" s="2"/>
      <c r="Q1351" s="2"/>
      <c r="R1351" s="2"/>
    </row>
    <row r="1352" spans="1:18">
      <c r="A1352" s="2"/>
      <c r="B1352" s="2"/>
      <c r="C1352" s="2"/>
      <c r="D1352">
        <v>5</v>
      </c>
      <c r="E1352" t="s">
        <v>59</v>
      </c>
      <c r="F1352" s="6">
        <v>2</v>
      </c>
      <c r="G1352" s="6">
        <v>0</v>
      </c>
      <c r="H1352" s="24"/>
      <c r="I1352" s="24"/>
      <c r="J1352" s="24"/>
      <c r="K1352" s="24"/>
      <c r="L1352" s="24"/>
      <c r="M1352" s="24"/>
      <c r="N1352" s="24"/>
      <c r="O1352" s="24"/>
      <c r="P1352" s="2"/>
      <c r="Q1352" s="2"/>
      <c r="R1352" s="2"/>
    </row>
    <row r="1353" spans="1:18">
      <c r="A1353" s="2"/>
      <c r="B1353" s="2"/>
      <c r="C1353" s="2"/>
      <c r="D1353" s="2">
        <f>ROUNDUP(6+F1353/2,0)</f>
        <v>7</v>
      </c>
      <c r="E1353" s="2" t="s">
        <v>6</v>
      </c>
      <c r="F1353" s="24">
        <f>LEN(G1353)</f>
        <v>1</v>
      </c>
      <c r="G1353" s="24" t="s">
        <v>22</v>
      </c>
      <c r="H1353" s="24">
        <v>3300</v>
      </c>
      <c r="I1353" s="24">
        <v>1100</v>
      </c>
      <c r="J1353" s="24"/>
      <c r="K1353" s="24"/>
      <c r="L1353" s="24"/>
      <c r="M1353" s="24"/>
      <c r="N1353" s="24"/>
      <c r="O1353" s="24"/>
      <c r="P1353" s="2"/>
      <c r="Q1353" s="2"/>
      <c r="R1353" s="2"/>
    </row>
    <row r="1354" spans="1:18">
      <c r="A1354" s="2"/>
      <c r="B1354" s="2"/>
      <c r="C1354" s="2"/>
      <c r="D1354">
        <v>4</v>
      </c>
      <c r="E1354" t="s">
        <v>15</v>
      </c>
      <c r="F1354" s="6">
        <v>2</v>
      </c>
      <c r="G1354" s="24"/>
      <c r="H1354" s="24"/>
      <c r="I1354" s="24"/>
      <c r="J1354" s="24"/>
      <c r="K1354" s="24"/>
      <c r="L1354" s="24"/>
      <c r="M1354" s="24"/>
      <c r="N1354" s="24"/>
      <c r="O1354" s="24"/>
      <c r="P1354" s="2"/>
      <c r="Q1354" s="2"/>
      <c r="R1354" s="2"/>
    </row>
    <row r="1355" spans="1:18">
      <c r="A1355" s="2"/>
      <c r="B1355" s="2"/>
      <c r="C1355" s="2"/>
      <c r="D1355" s="2">
        <f>F1355*2+4</f>
        <v>8</v>
      </c>
      <c r="E1355" s="2" t="s">
        <v>1</v>
      </c>
      <c r="F1355" s="24">
        <v>2</v>
      </c>
      <c r="G1355" s="24">
        <v>1700</v>
      </c>
      <c r="H1355" s="24">
        <v>2000</v>
      </c>
      <c r="I1355" s="24">
        <v>4200</v>
      </c>
      <c r="J1355" s="24">
        <v>4500</v>
      </c>
      <c r="K1355" s="24"/>
      <c r="L1355" s="24"/>
      <c r="M1355" s="24"/>
      <c r="N1355" s="24"/>
      <c r="O1355" s="24"/>
      <c r="P1355" s="2"/>
      <c r="Q1355" s="2"/>
      <c r="R1355" s="2"/>
    </row>
    <row r="1356" spans="1:18">
      <c r="A1356" s="2"/>
      <c r="B1356" s="2"/>
      <c r="C1356" s="2"/>
      <c r="D1356" s="2">
        <f>ROUNDUP(6+F1356/2,0)</f>
        <v>7</v>
      </c>
      <c r="E1356" s="2" t="s">
        <v>6</v>
      </c>
      <c r="F1356" s="24">
        <f>LEN(G1356)</f>
        <v>1</v>
      </c>
      <c r="G1356" s="24">
        <v>2</v>
      </c>
      <c r="H1356" s="24">
        <v>2400</v>
      </c>
      <c r="I1356" s="24">
        <v>2300</v>
      </c>
      <c r="J1356" s="24"/>
      <c r="K1356" s="24"/>
      <c r="L1356" s="24"/>
      <c r="M1356" s="24"/>
      <c r="N1356" s="24"/>
      <c r="O1356" s="24"/>
      <c r="P1356" s="2"/>
      <c r="Q1356" s="2"/>
      <c r="R1356" s="2"/>
    </row>
    <row r="1357" spans="1:18">
      <c r="A1357" s="2"/>
      <c r="B1357" s="2"/>
      <c r="C1357" s="2"/>
      <c r="D1357" s="2"/>
      <c r="E1357" s="2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"/>
      <c r="Q1357" s="2"/>
      <c r="R1357" s="2"/>
    </row>
    <row r="1358" spans="1:18">
      <c r="A1358" s="2"/>
      <c r="B1358" s="2"/>
      <c r="C1358" s="2"/>
      <c r="D1358" s="2"/>
      <c r="E1358" s="2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"/>
      <c r="Q1358" s="2"/>
      <c r="R1358" s="2"/>
    </row>
    <row r="1359" spans="1:18">
      <c r="A1359" s="2"/>
      <c r="B1359" s="2"/>
      <c r="C1359" s="2"/>
      <c r="D1359" s="2"/>
      <c r="E1359" s="2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"/>
      <c r="Q1359" s="2"/>
      <c r="R1359" s="2"/>
    </row>
    <row r="1360" spans="1:18">
      <c r="A1360" s="48" t="s">
        <v>383</v>
      </c>
      <c r="B1360" s="1" t="s">
        <v>795</v>
      </c>
      <c r="D1360" t="s">
        <v>449</v>
      </c>
      <c r="E1360">
        <v>52695</v>
      </c>
      <c r="F1360" s="6">
        <v>39622</v>
      </c>
      <c r="G1360" s="6">
        <v>0</v>
      </c>
      <c r="H1360" s="6">
        <v>0</v>
      </c>
      <c r="I1360" s="6">
        <v>0</v>
      </c>
      <c r="J1360" s="6">
        <v>17400</v>
      </c>
      <c r="K1360" s="6">
        <v>4300</v>
      </c>
      <c r="L1360" s="6">
        <v>2880</v>
      </c>
      <c r="M1360" s="6">
        <v>0</v>
      </c>
      <c r="N1360" s="6">
        <v>0</v>
      </c>
      <c r="O1360" s="6" t="e">
        <f ca="1">checksummeint(G1360,H1360,I1360,J1360,K1360,L1360,M1360,N1360)</f>
        <v>#NAME?</v>
      </c>
      <c r="Q1360" s="2"/>
      <c r="R1360" s="2"/>
    </row>
    <row r="1361" spans="1:18">
      <c r="A1361" s="1"/>
      <c r="C1361">
        <v>0</v>
      </c>
      <c r="D1361">
        <v>28</v>
      </c>
      <c r="E1361" t="s">
        <v>12</v>
      </c>
      <c r="F1361" s="6">
        <v>540</v>
      </c>
      <c r="G1361" s="6">
        <v>0</v>
      </c>
      <c r="H1361" s="6">
        <v>0</v>
      </c>
      <c r="I1361" s="6">
        <v>0</v>
      </c>
      <c r="J1361" s="6">
        <v>400</v>
      </c>
      <c r="K1361" s="6">
        <v>0</v>
      </c>
      <c r="L1361" s="6">
        <v>0</v>
      </c>
      <c r="M1361" s="6">
        <v>0</v>
      </c>
      <c r="N1361" s="6">
        <v>0</v>
      </c>
      <c r="O1361" s="6" t="s">
        <v>19</v>
      </c>
      <c r="Q1361" s="2"/>
      <c r="R1361" s="2"/>
    </row>
    <row r="1362" spans="1:18">
      <c r="C1362">
        <v>1</v>
      </c>
      <c r="D1362">
        <v>8</v>
      </c>
      <c r="E1362" t="s">
        <v>14</v>
      </c>
      <c r="F1362" s="6">
        <v>0</v>
      </c>
      <c r="G1362" s="6">
        <v>24</v>
      </c>
      <c r="H1362" s="6">
        <v>0</v>
      </c>
      <c r="I1362" s="6">
        <v>0</v>
      </c>
      <c r="J1362" s="6">
        <v>0</v>
      </c>
      <c r="M1362" s="44"/>
      <c r="N1362" s="45"/>
      <c r="O1362" s="46"/>
      <c r="Q1362" s="2"/>
      <c r="R1362" s="2"/>
    </row>
    <row r="1363" spans="1:18">
      <c r="C1363">
        <v>2</v>
      </c>
      <c r="D1363">
        <v>8</v>
      </c>
      <c r="E1363" t="s">
        <v>14</v>
      </c>
      <c r="F1363" s="6">
        <v>2</v>
      </c>
      <c r="G1363" s="6">
        <v>24</v>
      </c>
      <c r="H1363" s="6">
        <v>0</v>
      </c>
      <c r="I1363" s="6">
        <v>0</v>
      </c>
      <c r="J1363" s="6">
        <v>0</v>
      </c>
      <c r="Q1363" s="2"/>
      <c r="R1363" s="2"/>
    </row>
    <row r="1364" spans="1:18">
      <c r="C1364">
        <v>3</v>
      </c>
      <c r="D1364">
        <v>7</v>
      </c>
      <c r="E1364" t="s">
        <v>11</v>
      </c>
      <c r="F1364" s="6">
        <v>0</v>
      </c>
      <c r="G1364" s="24">
        <v>0</v>
      </c>
      <c r="H1364" s="24">
        <v>0</v>
      </c>
      <c r="I1364" s="6">
        <v>0</v>
      </c>
      <c r="Q1364" s="2"/>
      <c r="R1364" s="2"/>
    </row>
    <row r="1365" spans="1:18">
      <c r="C1365">
        <v>4</v>
      </c>
      <c r="D1365">
        <v>7</v>
      </c>
      <c r="E1365" t="s">
        <v>11</v>
      </c>
      <c r="F1365" s="6">
        <v>0</v>
      </c>
      <c r="G1365" s="6">
        <f>257*192</f>
        <v>49344</v>
      </c>
      <c r="H1365" s="6">
        <v>192</v>
      </c>
      <c r="I1365" s="6">
        <v>0</v>
      </c>
      <c r="Q1365" s="2"/>
      <c r="R1365" s="2"/>
    </row>
    <row r="1366" spans="1:18">
      <c r="C1366">
        <v>5</v>
      </c>
      <c r="D1366">
        <v>8</v>
      </c>
      <c r="E1366" t="s">
        <v>14</v>
      </c>
      <c r="F1366" s="6">
        <v>0</v>
      </c>
      <c r="G1366" s="6">
        <v>48</v>
      </c>
      <c r="H1366" s="6">
        <v>0</v>
      </c>
      <c r="I1366" s="6">
        <v>0</v>
      </c>
      <c r="J1366" s="6">
        <v>0</v>
      </c>
      <c r="Q1366" s="2"/>
      <c r="R1366" s="2"/>
    </row>
    <row r="1367" spans="1:18">
      <c r="C1367">
        <v>6</v>
      </c>
      <c r="D1367">
        <v>7</v>
      </c>
      <c r="E1367" t="s">
        <v>11</v>
      </c>
      <c r="F1367" s="6">
        <v>0</v>
      </c>
      <c r="G1367" s="6">
        <f>257*224</f>
        <v>57568</v>
      </c>
      <c r="H1367" s="6">
        <v>224</v>
      </c>
      <c r="I1367" s="6">
        <v>0</v>
      </c>
      <c r="Q1367" s="2"/>
      <c r="R1367" s="2"/>
    </row>
    <row r="1368" spans="1:18">
      <c r="C1368">
        <v>7</v>
      </c>
      <c r="D1368">
        <v>7</v>
      </c>
      <c r="E1368" t="s">
        <v>11</v>
      </c>
      <c r="F1368" s="6">
        <v>1</v>
      </c>
      <c r="G1368" s="6">
        <v>0</v>
      </c>
      <c r="H1368" s="6">
        <v>0</v>
      </c>
      <c r="I1368" s="6">
        <v>0</v>
      </c>
      <c r="Q1368" s="2"/>
      <c r="R1368" s="2"/>
    </row>
    <row r="1369" spans="1:18">
      <c r="C1369">
        <v>8</v>
      </c>
      <c r="D1369">
        <v>28</v>
      </c>
      <c r="E1369" t="s">
        <v>12</v>
      </c>
      <c r="F1369" s="6">
        <v>1080</v>
      </c>
      <c r="G1369" s="6">
        <v>0</v>
      </c>
      <c r="H1369" s="6">
        <v>0</v>
      </c>
      <c r="I1369" s="6">
        <v>0</v>
      </c>
      <c r="J1369" s="6">
        <v>700</v>
      </c>
      <c r="K1369" s="6">
        <v>0</v>
      </c>
      <c r="L1369" s="6">
        <v>0</v>
      </c>
      <c r="M1369" s="6">
        <v>0</v>
      </c>
      <c r="N1369" s="6">
        <v>0</v>
      </c>
      <c r="O1369" s="6" t="s">
        <v>19</v>
      </c>
      <c r="Q1369" s="2"/>
      <c r="R1369" s="2"/>
    </row>
    <row r="1370" spans="1:18">
      <c r="D1370">
        <v>5</v>
      </c>
      <c r="E1370" t="s">
        <v>59</v>
      </c>
      <c r="F1370" s="6">
        <v>1</v>
      </c>
      <c r="G1370" s="6">
        <v>0</v>
      </c>
      <c r="Q1370" s="2"/>
      <c r="R1370" s="2"/>
    </row>
    <row r="1371" spans="1:18">
      <c r="D1371">
        <v>4</v>
      </c>
      <c r="E1371" t="s">
        <v>15</v>
      </c>
      <c r="F1371" s="6">
        <v>8</v>
      </c>
      <c r="G1371" s="24"/>
      <c r="Q1371" s="2"/>
      <c r="R1371" s="2"/>
    </row>
    <row r="1372" spans="1:18">
      <c r="D1372">
        <v>4</v>
      </c>
      <c r="E1372" t="s">
        <v>15</v>
      </c>
      <c r="F1372" s="6">
        <v>3</v>
      </c>
      <c r="Q1372" s="2"/>
      <c r="R1372" s="2"/>
    </row>
    <row r="1373" spans="1:18">
      <c r="A1373" s="2"/>
      <c r="B1373" s="2"/>
      <c r="C1373" s="2"/>
      <c r="D1373">
        <v>4</v>
      </c>
      <c r="E1373" t="s">
        <v>15</v>
      </c>
      <c r="F1373" s="6">
        <v>1</v>
      </c>
      <c r="G1373" s="24"/>
      <c r="K1373" s="24"/>
      <c r="L1373" s="24"/>
      <c r="M1373" s="24"/>
      <c r="N1373" s="24"/>
      <c r="O1373" s="24"/>
      <c r="P1373" s="2"/>
      <c r="Q1373" s="2"/>
      <c r="R1373" s="2"/>
    </row>
    <row r="1374" spans="1:18">
      <c r="A1374" s="2"/>
      <c r="B1374" s="2"/>
      <c r="C1374" s="2"/>
      <c r="D1374" s="2">
        <v>18</v>
      </c>
      <c r="E1374" s="2" t="s">
        <v>111</v>
      </c>
      <c r="F1374" s="24">
        <v>300</v>
      </c>
      <c r="G1374" s="33">
        <v>200</v>
      </c>
      <c r="H1374" s="24">
        <f>H1375+100</f>
        <v>4100</v>
      </c>
      <c r="I1374" s="24">
        <f>G1374</f>
        <v>200</v>
      </c>
      <c r="J1374" s="33">
        <v>0</v>
      </c>
      <c r="K1374" s="24"/>
      <c r="L1374" s="24"/>
      <c r="M1374" s="24"/>
      <c r="N1374" s="24"/>
      <c r="O1374" s="24"/>
      <c r="P1374" s="2"/>
      <c r="Q1374" s="2"/>
      <c r="R1374" s="2"/>
    </row>
    <row r="1375" spans="1:18">
      <c r="A1375" s="2"/>
      <c r="B1375" s="2"/>
      <c r="C1375" s="2"/>
      <c r="D1375" s="2">
        <v>18</v>
      </c>
      <c r="E1375" s="2" t="s">
        <v>111</v>
      </c>
      <c r="F1375" s="24">
        <v>300</v>
      </c>
      <c r="G1375" s="24">
        <f>G1374-100</f>
        <v>100</v>
      </c>
      <c r="H1375" s="24">
        <f>J1374+4000</f>
        <v>4000</v>
      </c>
      <c r="I1375" s="24">
        <f>I1374+4000</f>
        <v>4200</v>
      </c>
      <c r="J1375" s="24">
        <f>H1375</f>
        <v>4000</v>
      </c>
      <c r="K1375" s="24"/>
      <c r="L1375" s="24"/>
      <c r="M1375" s="24"/>
      <c r="N1375" s="24"/>
      <c r="O1375" s="24"/>
      <c r="P1375" s="2"/>
      <c r="Q1375" s="2"/>
      <c r="R1375" s="2"/>
    </row>
    <row r="1376" spans="1:18">
      <c r="A1376" s="2"/>
      <c r="B1376" s="2"/>
      <c r="C1376" s="2"/>
      <c r="D1376" s="2">
        <f>F1376*2+4</f>
        <v>10</v>
      </c>
      <c r="E1376" s="2" t="s">
        <v>1</v>
      </c>
      <c r="F1376" s="24">
        <v>3</v>
      </c>
      <c r="G1376" s="24">
        <f>G1375</f>
        <v>100</v>
      </c>
      <c r="H1376" s="24">
        <f>J1374+500</f>
        <v>500</v>
      </c>
      <c r="I1376" s="24">
        <f>I1375-500</f>
        <v>3700</v>
      </c>
      <c r="J1376" s="24">
        <f>H1376</f>
        <v>500</v>
      </c>
      <c r="K1376" s="24">
        <f>I1376</f>
        <v>3700</v>
      </c>
      <c r="L1376" s="24">
        <f>H1374</f>
        <v>4100</v>
      </c>
      <c r="M1376" s="24"/>
      <c r="N1376" s="24"/>
      <c r="O1376" s="24"/>
      <c r="P1376" s="2"/>
      <c r="Q1376" s="2"/>
      <c r="R1376" s="2"/>
    </row>
    <row r="1377" spans="1:18">
      <c r="A1377" s="2"/>
      <c r="B1377" s="2"/>
      <c r="C1377" s="2"/>
      <c r="D1377" s="2">
        <f>F1377*2+4</f>
        <v>8</v>
      </c>
      <c r="E1377" s="2" t="s">
        <v>1</v>
      </c>
      <c r="F1377" s="24">
        <v>2</v>
      </c>
      <c r="G1377" s="24">
        <f>G1376</f>
        <v>100</v>
      </c>
      <c r="H1377" s="24">
        <f>(H1376+H1375)/2</f>
        <v>2250</v>
      </c>
      <c r="I1377" s="24">
        <f>G1374+100</f>
        <v>300</v>
      </c>
      <c r="J1377" s="24">
        <f>H1377</f>
        <v>2250</v>
      </c>
      <c r="K1377" s="24"/>
      <c r="L1377" s="24"/>
      <c r="M1377" s="24"/>
      <c r="N1377" s="24"/>
      <c r="O1377" s="24"/>
      <c r="P1377" s="2"/>
      <c r="Q1377" s="2"/>
      <c r="R1377" s="2"/>
    </row>
    <row r="1378" spans="1:18">
      <c r="A1378" s="2"/>
      <c r="B1378" s="2"/>
      <c r="C1378" s="2"/>
      <c r="D1378" s="2">
        <f>F1378*2+4</f>
        <v>8</v>
      </c>
      <c r="E1378" s="2" t="s">
        <v>1</v>
      </c>
      <c r="F1378" s="24">
        <v>2</v>
      </c>
      <c r="G1378" s="24">
        <f>G1377</f>
        <v>100</v>
      </c>
      <c r="H1378" s="24">
        <f>G1374+1300</f>
        <v>1500</v>
      </c>
      <c r="I1378" s="24">
        <f>I1377</f>
        <v>300</v>
      </c>
      <c r="J1378" s="24">
        <f>H1378</f>
        <v>1500</v>
      </c>
      <c r="K1378" s="24"/>
      <c r="L1378" s="24"/>
      <c r="M1378" s="24"/>
      <c r="N1378" s="24"/>
      <c r="O1378" s="24"/>
      <c r="P1378" s="2"/>
      <c r="Q1378" s="2"/>
      <c r="R1378" s="2"/>
    </row>
    <row r="1379" spans="1:18">
      <c r="A1379" s="2"/>
      <c r="B1379" s="2"/>
      <c r="C1379" s="2"/>
      <c r="D1379" s="2">
        <f>F1379*2+4</f>
        <v>8</v>
      </c>
      <c r="E1379" s="2" t="s">
        <v>1</v>
      </c>
      <c r="F1379" s="24">
        <v>2</v>
      </c>
      <c r="G1379" s="24">
        <f>H1377-300</f>
        <v>1950</v>
      </c>
      <c r="H1379" s="24">
        <f>J1379-200</f>
        <v>3900</v>
      </c>
      <c r="I1379" s="24">
        <f>G1379</f>
        <v>1950</v>
      </c>
      <c r="J1379" s="24">
        <f>H1374</f>
        <v>4100</v>
      </c>
      <c r="K1379" s="24"/>
      <c r="L1379" s="24"/>
      <c r="M1379" s="24"/>
      <c r="N1379" s="24"/>
      <c r="O1379" s="24"/>
      <c r="P1379" s="2"/>
      <c r="Q1379" s="2"/>
      <c r="R1379" s="2"/>
    </row>
    <row r="1380" spans="1:18">
      <c r="A1380" s="2"/>
      <c r="B1380" s="2"/>
      <c r="C1380" s="2"/>
      <c r="D1380">
        <v>4</v>
      </c>
      <c r="E1380" t="s">
        <v>15</v>
      </c>
      <c r="F1380" s="6">
        <v>6</v>
      </c>
      <c r="G1380" s="24"/>
      <c r="H1380" s="24"/>
      <c r="I1380" s="24"/>
      <c r="J1380" s="24"/>
      <c r="K1380" s="24"/>
      <c r="L1380" s="24"/>
      <c r="M1380" s="24"/>
      <c r="N1380" s="24"/>
      <c r="O1380" s="24"/>
      <c r="P1380" s="2"/>
      <c r="Q1380" s="2"/>
      <c r="R1380" s="2"/>
    </row>
    <row r="1381" spans="1:18">
      <c r="A1381" s="2"/>
      <c r="B1381" s="2"/>
      <c r="C1381" s="2"/>
      <c r="D1381" s="2">
        <f>F1381*2+4</f>
        <v>12</v>
      </c>
      <c r="E1381" s="2" t="s">
        <v>4</v>
      </c>
      <c r="F1381" s="24">
        <v>4</v>
      </c>
      <c r="G1381" s="24">
        <f>I1385</f>
        <v>200</v>
      </c>
      <c r="H1381" s="24">
        <f>H1374-100</f>
        <v>4000</v>
      </c>
      <c r="I1381" s="24">
        <f>G1381</f>
        <v>200</v>
      </c>
      <c r="J1381" s="24">
        <f>L1381</f>
        <v>1500</v>
      </c>
      <c r="K1381" s="24">
        <f>I1376</f>
        <v>3700</v>
      </c>
      <c r="L1381" s="24">
        <f>G1381+1300</f>
        <v>1500</v>
      </c>
      <c r="M1381" s="24">
        <f>K1381</f>
        <v>3700</v>
      </c>
      <c r="N1381" s="24">
        <f>H1381</f>
        <v>4000</v>
      </c>
      <c r="O1381" s="24"/>
      <c r="P1381" s="2"/>
      <c r="Q1381" s="2"/>
      <c r="R1381" s="2"/>
    </row>
    <row r="1382" spans="1:18">
      <c r="A1382" s="2"/>
      <c r="B1382" s="2"/>
      <c r="C1382" s="2"/>
      <c r="D1382">
        <v>7</v>
      </c>
      <c r="E1382" t="s">
        <v>5</v>
      </c>
      <c r="F1382" s="24">
        <f>F1394</f>
        <v>4000</v>
      </c>
      <c r="G1382" s="24">
        <f>G1394+4500</f>
        <v>9200</v>
      </c>
      <c r="H1382" s="24">
        <f>J1381</f>
        <v>1500</v>
      </c>
      <c r="I1382" s="24">
        <f>I1394+4500</f>
        <v>12700</v>
      </c>
      <c r="J1382" s="24"/>
      <c r="K1382" s="24"/>
      <c r="L1382" s="24"/>
      <c r="M1382" s="24"/>
      <c r="N1382" s="24"/>
      <c r="O1382" s="24"/>
      <c r="P1382" s="2"/>
      <c r="Q1382" s="2"/>
      <c r="R1382" s="2"/>
    </row>
    <row r="1383" spans="1:18">
      <c r="A1383" s="2"/>
      <c r="B1383" s="2"/>
      <c r="C1383" s="2"/>
      <c r="D1383" s="2">
        <f>F1383*2+4</f>
        <v>10</v>
      </c>
      <c r="E1383" s="2" t="s">
        <v>4</v>
      </c>
      <c r="F1383" s="24">
        <v>3</v>
      </c>
      <c r="G1383" s="24">
        <f>G1385+13500</f>
        <v>13700</v>
      </c>
      <c r="H1383" s="24">
        <f>H1385</f>
        <v>4000</v>
      </c>
      <c r="I1383" s="24">
        <f>I1385+13500</f>
        <v>13700</v>
      </c>
      <c r="J1383" s="24">
        <f>J1385</f>
        <v>2500</v>
      </c>
      <c r="K1383" s="24">
        <f>K1385+13500</f>
        <v>15200</v>
      </c>
      <c r="L1383" s="24">
        <f>L1385</f>
        <v>4000</v>
      </c>
      <c r="M1383" s="24"/>
      <c r="N1383" s="24"/>
      <c r="O1383" s="24"/>
      <c r="P1383" s="2"/>
      <c r="Q1383" s="2"/>
      <c r="R1383" s="2"/>
    </row>
    <row r="1384" spans="1:18">
      <c r="A1384" s="2"/>
      <c r="B1384" s="2"/>
      <c r="C1384" s="2"/>
      <c r="D1384">
        <v>4</v>
      </c>
      <c r="E1384" t="s">
        <v>15</v>
      </c>
      <c r="F1384" s="6">
        <v>4</v>
      </c>
      <c r="G1384" s="24"/>
      <c r="H1384" s="24"/>
      <c r="I1384" s="24"/>
      <c r="J1384" s="24"/>
      <c r="K1384" s="24"/>
      <c r="L1384" s="24"/>
      <c r="M1384" s="24"/>
      <c r="N1384" s="24"/>
      <c r="O1384" s="24"/>
      <c r="P1384" s="2"/>
      <c r="Q1384" s="2"/>
      <c r="R1384" s="2"/>
    </row>
    <row r="1385" spans="1:18">
      <c r="A1385" s="2"/>
      <c r="B1385" s="2"/>
      <c r="C1385" s="2"/>
      <c r="D1385" s="2">
        <f>F1385*2+4</f>
        <v>10</v>
      </c>
      <c r="E1385" s="2" t="s">
        <v>4</v>
      </c>
      <c r="F1385" s="24">
        <v>3</v>
      </c>
      <c r="G1385" s="24">
        <f>G1374</f>
        <v>200</v>
      </c>
      <c r="H1385" s="24">
        <f>H1375</f>
        <v>4000</v>
      </c>
      <c r="I1385" s="24">
        <f>G1385</f>
        <v>200</v>
      </c>
      <c r="J1385" s="24">
        <f>H1385-1500</f>
        <v>2500</v>
      </c>
      <c r="K1385" s="24">
        <f>I1385+H1385-J1385</f>
        <v>1700</v>
      </c>
      <c r="L1385" s="24">
        <f>H1385</f>
        <v>4000</v>
      </c>
      <c r="M1385" s="24"/>
      <c r="N1385" s="24"/>
      <c r="O1385" s="24"/>
      <c r="P1385" s="2"/>
      <c r="Q1385" s="2"/>
      <c r="R1385" s="2"/>
    </row>
    <row r="1386" spans="1:18">
      <c r="A1386" s="2"/>
      <c r="B1386" s="2"/>
      <c r="C1386" s="2"/>
      <c r="D1386" s="2">
        <f>F1386*2+4</f>
        <v>8</v>
      </c>
      <c r="E1386" s="2" t="s">
        <v>1</v>
      </c>
      <c r="F1386" s="24">
        <v>2</v>
      </c>
      <c r="G1386" s="24">
        <f>K1381</f>
        <v>3700</v>
      </c>
      <c r="H1386" s="24">
        <f>J1386</f>
        <v>2500</v>
      </c>
      <c r="I1386" s="24">
        <f>G1375</f>
        <v>100</v>
      </c>
      <c r="J1386" s="24">
        <f>H1388</f>
        <v>2500</v>
      </c>
      <c r="K1386" s="24"/>
      <c r="L1386" s="24"/>
      <c r="M1386" s="24"/>
      <c r="N1386" s="24"/>
      <c r="O1386" s="24"/>
      <c r="P1386" s="2"/>
      <c r="Q1386" s="2"/>
      <c r="R1386" s="2"/>
    </row>
    <row r="1387" spans="1:18">
      <c r="A1387" s="2"/>
      <c r="B1387" s="2"/>
      <c r="C1387" s="2"/>
      <c r="D1387">
        <v>4</v>
      </c>
      <c r="E1387" t="s">
        <v>15</v>
      </c>
      <c r="F1387" s="6">
        <v>5</v>
      </c>
      <c r="G1387" s="24"/>
      <c r="H1387" s="24"/>
      <c r="I1387" s="24"/>
      <c r="J1387" s="24"/>
      <c r="K1387" s="24"/>
      <c r="L1387" s="24"/>
      <c r="M1387" s="24"/>
      <c r="N1387" s="24"/>
      <c r="O1387" s="24"/>
      <c r="P1387" s="2"/>
      <c r="Q1387" s="2"/>
      <c r="R1387" s="2"/>
    </row>
    <row r="1388" spans="1:18">
      <c r="A1388" s="2"/>
      <c r="B1388" s="2"/>
      <c r="C1388" s="2"/>
      <c r="D1388" s="2">
        <f>F1388*2+4</f>
        <v>8</v>
      </c>
      <c r="E1388" s="2" t="s">
        <v>1</v>
      </c>
      <c r="F1388" s="24">
        <v>2</v>
      </c>
      <c r="G1388" s="24">
        <f>I1385</f>
        <v>200</v>
      </c>
      <c r="H1388" s="24">
        <f>J1385</f>
        <v>2500</v>
      </c>
      <c r="I1388" s="24">
        <f>K1385</f>
        <v>1700</v>
      </c>
      <c r="J1388" s="24">
        <f>L1385</f>
        <v>4000</v>
      </c>
      <c r="K1388" s="24"/>
      <c r="L1388" s="24"/>
      <c r="M1388" s="24"/>
      <c r="N1388" s="24"/>
      <c r="O1388" s="24"/>
      <c r="P1388" s="2"/>
      <c r="Q1388" s="2"/>
      <c r="R1388" s="2"/>
    </row>
    <row r="1389" spans="1:18">
      <c r="A1389" s="2"/>
      <c r="B1389" s="2"/>
      <c r="C1389" s="2"/>
      <c r="D1389">
        <v>4</v>
      </c>
      <c r="E1389" t="s">
        <v>15</v>
      </c>
      <c r="F1389" s="6">
        <v>2</v>
      </c>
      <c r="G1389" s="24"/>
      <c r="H1389" s="24"/>
      <c r="I1389" s="24"/>
      <c r="J1389" s="24"/>
      <c r="K1389" s="24"/>
      <c r="L1389" s="24"/>
      <c r="M1389" s="24"/>
      <c r="N1389" s="24"/>
      <c r="O1389" s="24"/>
      <c r="P1389" s="2"/>
      <c r="Q1389" s="2"/>
      <c r="R1389" s="2"/>
    </row>
    <row r="1390" spans="1:18">
      <c r="A1390" s="2"/>
      <c r="B1390" s="2"/>
      <c r="C1390" s="2"/>
      <c r="D1390" s="2">
        <f>F1390*2+4</f>
        <v>8</v>
      </c>
      <c r="E1390" s="2" t="s">
        <v>1</v>
      </c>
      <c r="F1390" s="24">
        <v>2</v>
      </c>
      <c r="G1390" s="24">
        <f>G1385+1000</f>
        <v>1200</v>
      </c>
      <c r="H1390" s="24">
        <f>J1381</f>
        <v>1500</v>
      </c>
      <c r="I1390" s="24">
        <f>K1381</f>
        <v>3700</v>
      </c>
      <c r="J1390" s="24">
        <f>H1381</f>
        <v>4000</v>
      </c>
      <c r="K1390" s="24"/>
      <c r="L1390" s="24"/>
      <c r="M1390" s="24"/>
      <c r="N1390" s="24"/>
      <c r="O1390" s="24"/>
      <c r="P1390" s="2"/>
      <c r="Q1390" s="2"/>
      <c r="R1390" s="2"/>
    </row>
    <row r="1391" spans="1:18">
      <c r="A1391" s="2"/>
      <c r="B1391" s="2"/>
      <c r="C1391" s="2"/>
      <c r="D1391" s="2"/>
      <c r="E1391" s="2" t="s">
        <v>515</v>
      </c>
      <c r="F1391" s="40" t="s">
        <v>565</v>
      </c>
      <c r="G1391" s="24">
        <v>4000</v>
      </c>
      <c r="H1391" s="24">
        <v>1700</v>
      </c>
      <c r="I1391" s="24">
        <f>G1391+4500</f>
        <v>8500</v>
      </c>
      <c r="J1391" s="24">
        <f>I1391+4500</f>
        <v>13000</v>
      </c>
      <c r="K1391" s="24">
        <f>I1396</f>
        <v>5700</v>
      </c>
      <c r="L1391" s="24">
        <f>J1396</f>
        <v>10200</v>
      </c>
      <c r="M1391" s="24">
        <f>K1396</f>
        <v>14700</v>
      </c>
      <c r="N1391" s="24"/>
      <c r="O1391" s="24"/>
      <c r="P1391" s="2"/>
      <c r="Q1391" s="2"/>
      <c r="R1391" s="2"/>
    </row>
    <row r="1392" spans="1:18">
      <c r="A1392" s="2"/>
      <c r="B1392" s="2"/>
      <c r="C1392" s="2"/>
      <c r="D1392">
        <v>4</v>
      </c>
      <c r="E1392" t="s">
        <v>15</v>
      </c>
      <c r="F1392" s="6">
        <v>1</v>
      </c>
      <c r="G1392" s="24"/>
      <c r="H1392" s="24"/>
      <c r="I1392" s="24"/>
      <c r="J1392" s="24"/>
      <c r="K1392" s="24"/>
      <c r="L1392" s="24"/>
      <c r="M1392" s="24"/>
      <c r="N1392" s="24"/>
      <c r="O1392" s="24"/>
      <c r="P1392" s="2"/>
    </row>
    <row r="1393" spans="1:17">
      <c r="A1393" s="2"/>
      <c r="B1393" s="2"/>
      <c r="C1393" s="2"/>
      <c r="D1393">
        <v>4</v>
      </c>
      <c r="E1393" t="s">
        <v>15</v>
      </c>
      <c r="F1393" s="6">
        <v>7</v>
      </c>
      <c r="G1393" s="24"/>
      <c r="H1393" s="24"/>
      <c r="I1393" s="24"/>
      <c r="J1393" s="24"/>
      <c r="K1393" s="24"/>
      <c r="L1393" s="24"/>
      <c r="M1393" s="24"/>
      <c r="N1393" s="24"/>
      <c r="O1393" s="24"/>
      <c r="P1393" s="2"/>
    </row>
    <row r="1394" spans="1:17">
      <c r="A1394" s="2"/>
      <c r="B1394" s="2"/>
      <c r="C1394" s="2"/>
      <c r="D1394">
        <v>7</v>
      </c>
      <c r="E1394" t="s">
        <v>5</v>
      </c>
      <c r="F1394" s="6">
        <f>H1375</f>
        <v>4000</v>
      </c>
      <c r="G1394" s="6">
        <f>G1374+4500</f>
        <v>4700</v>
      </c>
      <c r="H1394" s="6">
        <f>F1394-3500</f>
        <v>500</v>
      </c>
      <c r="I1394" s="6">
        <f>G1394+3500</f>
        <v>8200</v>
      </c>
      <c r="P1394" s="2"/>
    </row>
    <row r="1395" spans="1:17">
      <c r="A1395" s="2"/>
      <c r="B1395" s="2"/>
      <c r="C1395" s="2"/>
      <c r="D1395">
        <v>4</v>
      </c>
      <c r="E1395" t="s">
        <v>15</v>
      </c>
      <c r="F1395" s="6">
        <v>0</v>
      </c>
      <c r="G1395" s="24"/>
      <c r="H1395" s="24"/>
      <c r="I1395" s="24"/>
      <c r="J1395" s="24"/>
      <c r="K1395" s="24"/>
      <c r="L1395" s="24"/>
      <c r="M1395" s="24"/>
      <c r="N1395" s="24"/>
      <c r="O1395" s="24"/>
      <c r="P1395" s="2"/>
    </row>
    <row r="1396" spans="1:17">
      <c r="A1396" s="2"/>
      <c r="B1396" s="2"/>
      <c r="C1396" s="2"/>
      <c r="D1396" s="2"/>
      <c r="E1396" s="2" t="s">
        <v>515</v>
      </c>
      <c r="F1396" s="24" t="s">
        <v>564</v>
      </c>
      <c r="G1396" s="24">
        <v>1200</v>
      </c>
      <c r="H1396" s="24">
        <v>600</v>
      </c>
      <c r="I1396" s="24">
        <f>G1396+4500</f>
        <v>5700</v>
      </c>
      <c r="J1396" s="24">
        <f>I1396+4500</f>
        <v>10200</v>
      </c>
      <c r="K1396" s="24">
        <f>J1396+4500</f>
        <v>14700</v>
      </c>
      <c r="L1396" s="24"/>
      <c r="M1396" s="24"/>
      <c r="N1396" s="24"/>
      <c r="O1396" s="24"/>
      <c r="P1396" s="2"/>
    </row>
    <row r="1397" spans="1:17">
      <c r="A1397" s="2"/>
      <c r="B1397" s="2"/>
      <c r="C1397" s="2"/>
      <c r="D1397" s="2"/>
      <c r="E1397" s="2"/>
      <c r="F1397" s="24"/>
      <c r="G1397" s="36"/>
      <c r="H1397" s="24"/>
      <c r="I1397" s="24"/>
      <c r="J1397" s="24"/>
      <c r="K1397" s="24"/>
      <c r="L1397" s="24"/>
      <c r="M1397" s="24"/>
      <c r="N1397" s="24"/>
      <c r="O1397" s="24"/>
      <c r="P1397" s="2"/>
    </row>
    <row r="1398" spans="1:17">
      <c r="A1398" s="2"/>
      <c r="B1398" s="2"/>
      <c r="C1398" s="2"/>
      <c r="D1398" s="2"/>
      <c r="E1398" s="2"/>
      <c r="F1398" s="24"/>
      <c r="G1398" s="36"/>
      <c r="H1398" s="24"/>
      <c r="I1398" s="24"/>
      <c r="J1398" s="24"/>
      <c r="K1398" s="24"/>
      <c r="L1398" s="24"/>
      <c r="M1398" s="24"/>
      <c r="N1398" s="24"/>
      <c r="O1398" s="24"/>
      <c r="P1398" s="2"/>
    </row>
    <row r="1399" spans="1:17">
      <c r="A1399" s="2"/>
      <c r="B1399" s="2"/>
      <c r="C1399" s="2"/>
      <c r="D1399" s="2"/>
      <c r="E1399" s="2"/>
      <c r="F1399" s="24"/>
      <c r="G1399" s="36"/>
      <c r="H1399" s="24"/>
      <c r="I1399" s="24"/>
      <c r="J1399" s="24"/>
      <c r="K1399" s="24"/>
      <c r="L1399" s="24"/>
      <c r="M1399" s="24"/>
      <c r="N1399" s="24"/>
      <c r="O1399" s="24"/>
      <c r="P1399" s="2"/>
    </row>
    <row r="1400" spans="1:17">
      <c r="A1400" s="48" t="s">
        <v>383</v>
      </c>
      <c r="B1400" s="1" t="s">
        <v>796</v>
      </c>
      <c r="D1400" t="s">
        <v>449</v>
      </c>
      <c r="E1400">
        <v>52695</v>
      </c>
      <c r="F1400" s="6">
        <v>39622</v>
      </c>
      <c r="G1400" s="6">
        <v>0</v>
      </c>
      <c r="H1400" s="6">
        <v>0</v>
      </c>
      <c r="I1400" s="6">
        <v>0</v>
      </c>
      <c r="J1400" s="6">
        <v>17400</v>
      </c>
      <c r="K1400" s="6">
        <v>8700</v>
      </c>
      <c r="L1400" s="6">
        <v>2880</v>
      </c>
      <c r="M1400" s="6">
        <v>0</v>
      </c>
      <c r="N1400" s="6">
        <v>0</v>
      </c>
      <c r="O1400" s="6" t="e">
        <f ca="1">checksummeint(G1400,H1400,I1400,J1400,K1400,L1400,M1400,N1400)</f>
        <v>#NAME?</v>
      </c>
    </row>
    <row r="1401" spans="1:17">
      <c r="A1401" s="1"/>
      <c r="C1401">
        <v>0</v>
      </c>
      <c r="D1401">
        <v>28</v>
      </c>
      <c r="E1401" t="s">
        <v>12</v>
      </c>
      <c r="F1401" s="6">
        <v>540</v>
      </c>
      <c r="G1401" s="6">
        <v>0</v>
      </c>
      <c r="H1401" s="6">
        <v>0</v>
      </c>
      <c r="I1401" s="6">
        <v>0</v>
      </c>
      <c r="J1401" s="6">
        <v>400</v>
      </c>
      <c r="K1401" s="6">
        <v>0</v>
      </c>
      <c r="L1401" s="6">
        <v>0</v>
      </c>
      <c r="M1401" s="6">
        <v>0</v>
      </c>
      <c r="N1401" s="6">
        <v>0</v>
      </c>
      <c r="O1401" s="6" t="s">
        <v>19</v>
      </c>
    </row>
    <row r="1402" spans="1:17">
      <c r="C1402">
        <v>1</v>
      </c>
      <c r="D1402">
        <v>8</v>
      </c>
      <c r="E1402" t="s">
        <v>14</v>
      </c>
      <c r="F1402" s="6">
        <v>0</v>
      </c>
      <c r="G1402" s="6">
        <v>24</v>
      </c>
      <c r="H1402" s="6">
        <v>0</v>
      </c>
      <c r="I1402" s="6">
        <v>0</v>
      </c>
      <c r="J1402" s="6">
        <v>0</v>
      </c>
      <c r="M1402" s="44"/>
      <c r="N1402" s="45"/>
      <c r="O1402" s="46"/>
    </row>
    <row r="1403" spans="1:17">
      <c r="C1403">
        <v>2</v>
      </c>
      <c r="D1403">
        <v>8</v>
      </c>
      <c r="E1403" t="s">
        <v>14</v>
      </c>
      <c r="F1403" s="6">
        <v>2</v>
      </c>
      <c r="G1403" s="6">
        <v>24</v>
      </c>
      <c r="H1403" s="6">
        <v>0</v>
      </c>
      <c r="I1403" s="6">
        <v>0</v>
      </c>
      <c r="J1403" s="6">
        <v>0</v>
      </c>
      <c r="Q1403" s="2"/>
    </row>
    <row r="1404" spans="1:17">
      <c r="C1404">
        <v>3</v>
      </c>
      <c r="D1404">
        <v>7</v>
      </c>
      <c r="E1404" t="s">
        <v>11</v>
      </c>
      <c r="F1404" s="6">
        <v>0</v>
      </c>
      <c r="G1404" s="24">
        <v>0</v>
      </c>
      <c r="H1404" s="24">
        <v>0</v>
      </c>
      <c r="I1404" s="6">
        <v>0</v>
      </c>
      <c r="Q1404" s="2"/>
    </row>
    <row r="1405" spans="1:17">
      <c r="C1405">
        <v>4</v>
      </c>
      <c r="D1405">
        <v>7</v>
      </c>
      <c r="E1405" t="s">
        <v>11</v>
      </c>
      <c r="F1405" s="6">
        <v>0</v>
      </c>
      <c r="G1405" s="6">
        <f>257*192</f>
        <v>49344</v>
      </c>
      <c r="H1405" s="6">
        <v>192</v>
      </c>
      <c r="I1405" s="6">
        <v>0</v>
      </c>
    </row>
    <row r="1406" spans="1:17">
      <c r="C1406">
        <v>5</v>
      </c>
      <c r="D1406">
        <v>8</v>
      </c>
      <c r="E1406" t="s">
        <v>14</v>
      </c>
      <c r="F1406" s="6">
        <v>0</v>
      </c>
      <c r="G1406" s="6">
        <v>48</v>
      </c>
      <c r="H1406" s="6">
        <v>0</v>
      </c>
      <c r="I1406" s="6">
        <v>0</v>
      </c>
      <c r="J1406" s="6">
        <v>0</v>
      </c>
      <c r="Q1406" s="2"/>
    </row>
    <row r="1407" spans="1:17">
      <c r="C1407">
        <v>6</v>
      </c>
      <c r="D1407">
        <v>7</v>
      </c>
      <c r="E1407" t="s">
        <v>11</v>
      </c>
      <c r="F1407" s="6">
        <v>0</v>
      </c>
      <c r="G1407" s="6">
        <f>257*224</f>
        <v>57568</v>
      </c>
      <c r="H1407" s="6">
        <v>224</v>
      </c>
      <c r="I1407" s="6">
        <v>0</v>
      </c>
      <c r="Q1407" s="2"/>
    </row>
    <row r="1408" spans="1:17">
      <c r="C1408">
        <v>7</v>
      </c>
      <c r="D1408">
        <v>7</v>
      </c>
      <c r="E1408" t="s">
        <v>11</v>
      </c>
      <c r="F1408" s="6">
        <v>1</v>
      </c>
      <c r="G1408" s="6">
        <v>0</v>
      </c>
      <c r="H1408" s="6">
        <v>0</v>
      </c>
      <c r="I1408" s="6">
        <v>0</v>
      </c>
      <c r="Q1408" s="2"/>
    </row>
    <row r="1409" spans="1:17">
      <c r="C1409">
        <v>8</v>
      </c>
      <c r="D1409">
        <v>28</v>
      </c>
      <c r="E1409" t="s">
        <v>12</v>
      </c>
      <c r="F1409" s="6">
        <v>1080</v>
      </c>
      <c r="G1409" s="6">
        <v>0</v>
      </c>
      <c r="H1409" s="6">
        <v>0</v>
      </c>
      <c r="I1409" s="6">
        <v>0</v>
      </c>
      <c r="J1409" s="6">
        <v>700</v>
      </c>
      <c r="K1409" s="6">
        <v>0</v>
      </c>
      <c r="L1409" s="6">
        <v>0</v>
      </c>
      <c r="M1409" s="6">
        <v>0</v>
      </c>
      <c r="N1409" s="6">
        <v>0</v>
      </c>
      <c r="O1409" s="6" t="s">
        <v>19</v>
      </c>
      <c r="Q1409" s="2"/>
    </row>
    <row r="1410" spans="1:17">
      <c r="D1410">
        <v>5</v>
      </c>
      <c r="E1410" t="s">
        <v>59</v>
      </c>
      <c r="F1410" s="6">
        <v>1</v>
      </c>
      <c r="G1410" s="6">
        <v>0</v>
      </c>
      <c r="Q1410" s="2"/>
    </row>
    <row r="1411" spans="1:17">
      <c r="D1411">
        <v>4</v>
      </c>
      <c r="E1411" t="s">
        <v>15</v>
      </c>
      <c r="F1411" s="6">
        <v>8</v>
      </c>
      <c r="G1411" s="24"/>
    </row>
    <row r="1412" spans="1:17">
      <c r="D1412">
        <v>4</v>
      </c>
      <c r="E1412" t="s">
        <v>15</v>
      </c>
      <c r="F1412" s="6">
        <v>3</v>
      </c>
      <c r="Q1412" s="2"/>
    </row>
    <row r="1413" spans="1:17">
      <c r="A1413" s="2"/>
      <c r="B1413" s="2"/>
      <c r="C1413" s="2"/>
      <c r="D1413">
        <v>4</v>
      </c>
      <c r="E1413" t="s">
        <v>15</v>
      </c>
      <c r="F1413" s="6">
        <v>1</v>
      </c>
      <c r="G1413" s="24"/>
      <c r="K1413" s="24"/>
      <c r="L1413" s="24"/>
      <c r="M1413" s="24"/>
      <c r="N1413" s="24"/>
      <c r="O1413" s="24"/>
      <c r="P1413" s="2"/>
      <c r="Q1413" s="2"/>
    </row>
    <row r="1414" spans="1:17">
      <c r="A1414" s="2"/>
      <c r="B1414" s="2"/>
      <c r="C1414" s="2"/>
      <c r="D1414" s="2">
        <v>18</v>
      </c>
      <c r="E1414" s="2" t="s">
        <v>111</v>
      </c>
      <c r="F1414" s="24">
        <v>300</v>
      </c>
      <c r="G1414" s="33">
        <v>200</v>
      </c>
      <c r="H1414" s="24">
        <f>H1415+100</f>
        <v>4100</v>
      </c>
      <c r="I1414" s="24">
        <f>G1414</f>
        <v>200</v>
      </c>
      <c r="J1414" s="33">
        <v>0</v>
      </c>
      <c r="K1414" s="24"/>
      <c r="L1414" s="24"/>
      <c r="M1414" s="24"/>
      <c r="N1414" s="24"/>
      <c r="O1414" s="24"/>
      <c r="P1414" s="2"/>
    </row>
    <row r="1415" spans="1:17">
      <c r="A1415" s="2"/>
      <c r="B1415" s="2"/>
      <c r="C1415" s="2"/>
      <c r="D1415" s="2">
        <v>18</v>
      </c>
      <c r="E1415" s="2" t="s">
        <v>111</v>
      </c>
      <c r="F1415" s="24">
        <v>300</v>
      </c>
      <c r="G1415" s="24">
        <f>G1414-100</f>
        <v>100</v>
      </c>
      <c r="H1415" s="24">
        <f>J1414+4000</f>
        <v>4000</v>
      </c>
      <c r="I1415" s="24">
        <f>I1414+4000</f>
        <v>4200</v>
      </c>
      <c r="J1415" s="24">
        <f>H1415</f>
        <v>4000</v>
      </c>
      <c r="K1415" s="24"/>
      <c r="L1415" s="24"/>
      <c r="M1415" s="24"/>
      <c r="N1415" s="24"/>
      <c r="O1415" s="24"/>
      <c r="P1415" s="2"/>
      <c r="Q1415" s="2"/>
    </row>
    <row r="1416" spans="1:17">
      <c r="A1416" s="2"/>
      <c r="B1416" s="2"/>
      <c r="C1416" s="2"/>
      <c r="D1416" s="2">
        <v>18</v>
      </c>
      <c r="E1416" s="2" t="s">
        <v>111</v>
      </c>
      <c r="F1416" s="24">
        <v>300</v>
      </c>
      <c r="G1416" s="33">
        <v>200</v>
      </c>
      <c r="H1416" s="24">
        <f>H1417+100</f>
        <v>8600</v>
      </c>
      <c r="I1416" s="24">
        <f>G1416</f>
        <v>200</v>
      </c>
      <c r="J1416" s="33">
        <v>4500</v>
      </c>
      <c r="K1416" s="24"/>
      <c r="L1416" s="24"/>
      <c r="M1416" s="24"/>
      <c r="N1416" s="24"/>
      <c r="O1416" s="24"/>
      <c r="P1416" s="2"/>
      <c r="Q1416" s="2"/>
    </row>
    <row r="1417" spans="1:17">
      <c r="A1417" s="2"/>
      <c r="B1417" s="2"/>
      <c r="C1417" s="2"/>
      <c r="D1417" s="2">
        <v>18</v>
      </c>
      <c r="E1417" s="2" t="s">
        <v>111</v>
      </c>
      <c r="F1417" s="24">
        <v>300</v>
      </c>
      <c r="G1417" s="24">
        <f>G1416-100</f>
        <v>100</v>
      </c>
      <c r="H1417" s="24">
        <f>J1416+4000</f>
        <v>8500</v>
      </c>
      <c r="I1417" s="24">
        <f>I1416+4000</f>
        <v>4200</v>
      </c>
      <c r="J1417" s="24">
        <f>H1417</f>
        <v>8500</v>
      </c>
      <c r="K1417" s="24"/>
      <c r="L1417" s="24"/>
      <c r="M1417" s="24"/>
      <c r="N1417" s="24"/>
      <c r="O1417" s="24"/>
      <c r="P1417" s="2"/>
      <c r="Q1417" s="2"/>
    </row>
    <row r="1418" spans="1:17">
      <c r="A1418" s="2"/>
      <c r="B1418" s="2"/>
      <c r="C1418" s="2"/>
      <c r="D1418" s="2">
        <f t="shared" ref="D1418:D1423" si="93">F1418*2+4</f>
        <v>8</v>
      </c>
      <c r="E1418" s="2" t="s">
        <v>1</v>
      </c>
      <c r="F1418" s="24">
        <v>2</v>
      </c>
      <c r="G1418" s="24">
        <f>G1415</f>
        <v>100</v>
      </c>
      <c r="H1418" s="24">
        <f>H1415-3500/2</f>
        <v>2250</v>
      </c>
      <c r="I1418" s="24">
        <f>G1414+100</f>
        <v>300</v>
      </c>
      <c r="J1418" s="24">
        <f>H1418</f>
        <v>2250</v>
      </c>
      <c r="K1418" s="24"/>
      <c r="L1418" s="24"/>
      <c r="M1418" s="24"/>
      <c r="N1418" s="24"/>
      <c r="O1418" s="24"/>
      <c r="P1418" s="2"/>
      <c r="Q1418" s="2"/>
    </row>
    <row r="1419" spans="1:17">
      <c r="A1419" s="2"/>
      <c r="B1419" s="2"/>
      <c r="C1419" s="2"/>
      <c r="D1419" s="2">
        <f t="shared" si="93"/>
        <v>8</v>
      </c>
      <c r="E1419" s="2" t="s">
        <v>1</v>
      </c>
      <c r="F1419" s="24">
        <v>2</v>
      </c>
      <c r="G1419" s="24">
        <f>G1418</f>
        <v>100</v>
      </c>
      <c r="H1419" s="24">
        <f>G1414+1300</f>
        <v>1500</v>
      </c>
      <c r="I1419" s="24">
        <f>I1418</f>
        <v>300</v>
      </c>
      <c r="J1419" s="24">
        <f>H1419</f>
        <v>1500</v>
      </c>
      <c r="K1419" s="24"/>
      <c r="L1419" s="24"/>
      <c r="M1419" s="24"/>
      <c r="N1419" s="24"/>
      <c r="O1419" s="24"/>
      <c r="P1419" s="2"/>
    </row>
    <row r="1420" spans="1:17">
      <c r="A1420" s="2"/>
      <c r="B1420" s="2"/>
      <c r="C1420" s="2"/>
      <c r="D1420" s="2">
        <f t="shared" si="93"/>
        <v>8</v>
      </c>
      <c r="E1420" s="2" t="s">
        <v>1</v>
      </c>
      <c r="F1420" s="24">
        <v>2</v>
      </c>
      <c r="G1420" s="24">
        <f>G1418+1850</f>
        <v>1950</v>
      </c>
      <c r="H1420" s="24">
        <f>J1420-200</f>
        <v>3900</v>
      </c>
      <c r="I1420" s="24">
        <f>G1420</f>
        <v>1950</v>
      </c>
      <c r="J1420" s="24">
        <f>H1414</f>
        <v>4100</v>
      </c>
      <c r="K1420" s="24"/>
      <c r="L1420" s="24"/>
      <c r="M1420" s="24"/>
      <c r="N1420" s="24"/>
      <c r="O1420" s="24"/>
      <c r="P1420" s="2"/>
      <c r="Q1420" s="2"/>
    </row>
    <row r="1421" spans="1:17">
      <c r="A1421" s="2"/>
      <c r="B1421" s="2"/>
      <c r="C1421" s="2"/>
      <c r="D1421" s="2">
        <f t="shared" si="93"/>
        <v>8</v>
      </c>
      <c r="E1421" s="2" t="s">
        <v>1</v>
      </c>
      <c r="F1421" s="24">
        <v>2</v>
      </c>
      <c r="G1421" s="24">
        <f>G1417</f>
        <v>100</v>
      </c>
      <c r="H1421" s="24">
        <f>H1417-3500/2</f>
        <v>6750</v>
      </c>
      <c r="I1421" s="24">
        <f>G1416+100</f>
        <v>300</v>
      </c>
      <c r="J1421" s="24">
        <f>H1421</f>
        <v>6750</v>
      </c>
      <c r="K1421" s="24"/>
      <c r="L1421" s="24"/>
      <c r="M1421" s="24"/>
      <c r="N1421" s="24"/>
      <c r="O1421" s="24"/>
      <c r="P1421" s="2"/>
      <c r="Q1421" s="2"/>
    </row>
    <row r="1422" spans="1:17">
      <c r="A1422" s="2"/>
      <c r="B1422" s="2"/>
      <c r="C1422" s="2"/>
      <c r="D1422" s="2">
        <f t="shared" si="93"/>
        <v>8</v>
      </c>
      <c r="E1422" s="2" t="s">
        <v>1</v>
      </c>
      <c r="F1422" s="24">
        <v>2</v>
      </c>
      <c r="G1422" s="24">
        <f>G1421</f>
        <v>100</v>
      </c>
      <c r="H1422" s="24">
        <f>G1416+1300</f>
        <v>1500</v>
      </c>
      <c r="I1422" s="24">
        <f>I1421</f>
        <v>300</v>
      </c>
      <c r="J1422" s="24">
        <f>H1422</f>
        <v>1500</v>
      </c>
      <c r="K1422" s="24"/>
      <c r="L1422" s="24"/>
      <c r="M1422" s="24"/>
      <c r="N1422" s="24"/>
      <c r="O1422" s="24"/>
      <c r="P1422" s="2"/>
      <c r="Q1422" s="2"/>
    </row>
    <row r="1423" spans="1:17">
      <c r="A1423" s="2"/>
      <c r="B1423" s="2"/>
      <c r="C1423" s="2"/>
      <c r="D1423" s="2">
        <f t="shared" si="93"/>
        <v>8</v>
      </c>
      <c r="E1423" s="2" t="s">
        <v>1</v>
      </c>
      <c r="F1423" s="24">
        <v>2</v>
      </c>
      <c r="G1423" s="24">
        <f>G1421+1850</f>
        <v>1950</v>
      </c>
      <c r="H1423" s="24">
        <f>J1423-200</f>
        <v>8400</v>
      </c>
      <c r="I1423" s="24">
        <f>G1423</f>
        <v>1950</v>
      </c>
      <c r="J1423" s="24">
        <f>H1416</f>
        <v>8600</v>
      </c>
      <c r="K1423" s="24"/>
      <c r="L1423" s="24"/>
      <c r="M1423" s="24"/>
      <c r="N1423" s="24"/>
      <c r="O1423" s="24"/>
      <c r="P1423" s="2"/>
      <c r="Q1423" s="2"/>
    </row>
    <row r="1424" spans="1:17">
      <c r="A1424" s="2"/>
      <c r="B1424" s="2"/>
      <c r="C1424" s="2"/>
      <c r="D1424">
        <v>4</v>
      </c>
      <c r="E1424" t="s">
        <v>15</v>
      </c>
      <c r="F1424" s="6">
        <v>6</v>
      </c>
      <c r="G1424" s="24"/>
      <c r="H1424" s="24"/>
      <c r="I1424" s="24"/>
      <c r="J1424" s="24"/>
      <c r="K1424" s="24"/>
      <c r="L1424" s="24"/>
      <c r="M1424" s="24"/>
      <c r="N1424" s="24"/>
      <c r="O1424" s="24"/>
      <c r="P1424" s="2"/>
      <c r="Q1424" s="2"/>
    </row>
    <row r="1425" spans="1:17">
      <c r="A1425" s="2"/>
      <c r="B1425" s="2"/>
      <c r="C1425" s="2"/>
      <c r="D1425" s="2">
        <f>F1425*2+4</f>
        <v>12</v>
      </c>
      <c r="E1425" s="2" t="s">
        <v>4</v>
      </c>
      <c r="F1425" s="24">
        <v>4</v>
      </c>
      <c r="G1425" s="24">
        <f>I1432</f>
        <v>200</v>
      </c>
      <c r="H1425" s="24">
        <f>H1414-100</f>
        <v>4000</v>
      </c>
      <c r="I1425" s="24">
        <f>G1425</f>
        <v>200</v>
      </c>
      <c r="J1425" s="24">
        <f>L1425</f>
        <v>500</v>
      </c>
      <c r="K1425" s="24">
        <f>I1415-500</f>
        <v>3700</v>
      </c>
      <c r="L1425" s="24">
        <f>H1425-3500</f>
        <v>500</v>
      </c>
      <c r="M1425" s="24">
        <f>K1425</f>
        <v>3700</v>
      </c>
      <c r="N1425" s="24">
        <f>H1425</f>
        <v>4000</v>
      </c>
      <c r="O1425" s="24"/>
      <c r="P1425" s="2"/>
      <c r="Q1425" s="2"/>
    </row>
    <row r="1426" spans="1:17">
      <c r="A1426" s="2"/>
      <c r="B1426" s="2"/>
      <c r="C1426" s="2"/>
      <c r="D1426">
        <v>7</v>
      </c>
      <c r="E1426" t="s">
        <v>5</v>
      </c>
      <c r="F1426" s="24">
        <f>F1445</f>
        <v>4000</v>
      </c>
      <c r="G1426" s="24">
        <f>G1445+4500</f>
        <v>9200</v>
      </c>
      <c r="H1426" s="24">
        <f>J1425</f>
        <v>500</v>
      </c>
      <c r="I1426" s="24">
        <f>I1445+4500</f>
        <v>12700</v>
      </c>
      <c r="J1426" s="24"/>
      <c r="K1426" s="24"/>
      <c r="L1426" s="24"/>
      <c r="M1426" s="24"/>
      <c r="N1426" s="24"/>
      <c r="O1426" s="24"/>
      <c r="P1426" s="2"/>
      <c r="Q1426" s="2"/>
    </row>
    <row r="1427" spans="1:17">
      <c r="A1427" s="2"/>
      <c r="B1427" s="2"/>
      <c r="C1427" s="2"/>
      <c r="D1427" s="2">
        <f>F1427*2+4</f>
        <v>10</v>
      </c>
      <c r="E1427" s="2" t="s">
        <v>4</v>
      </c>
      <c r="F1427" s="24">
        <v>3</v>
      </c>
      <c r="G1427" s="24">
        <f>G1432+13500</f>
        <v>13700</v>
      </c>
      <c r="H1427" s="24">
        <f>H1432</f>
        <v>4000</v>
      </c>
      <c r="I1427" s="24">
        <f>I1432+13500</f>
        <v>13700</v>
      </c>
      <c r="J1427" s="24">
        <f>J1432</f>
        <v>1500</v>
      </c>
      <c r="K1427" s="24">
        <f>K1432+13500</f>
        <v>16200</v>
      </c>
      <c r="L1427" s="24">
        <f>L1432</f>
        <v>4000</v>
      </c>
      <c r="M1427" s="24"/>
      <c r="N1427" s="24"/>
      <c r="O1427" s="24"/>
      <c r="P1427" s="2"/>
      <c r="Q1427" s="2"/>
    </row>
    <row r="1428" spans="1:17">
      <c r="A1428" s="2"/>
      <c r="B1428" s="2"/>
      <c r="C1428" s="2"/>
      <c r="D1428" s="2">
        <f>F1428*2+4</f>
        <v>12</v>
      </c>
      <c r="E1428" s="2" t="s">
        <v>4</v>
      </c>
      <c r="F1428" s="24">
        <v>4</v>
      </c>
      <c r="G1428" s="24">
        <f>I1434</f>
        <v>200</v>
      </c>
      <c r="H1428" s="24">
        <f>H1416-100</f>
        <v>8500</v>
      </c>
      <c r="I1428" s="24">
        <f>G1428</f>
        <v>200</v>
      </c>
      <c r="J1428" s="24">
        <f>L1428</f>
        <v>5000</v>
      </c>
      <c r="K1428" s="24">
        <f>I1417-500</f>
        <v>3700</v>
      </c>
      <c r="L1428" s="24">
        <f>H1428-3500</f>
        <v>5000</v>
      </c>
      <c r="M1428" s="24">
        <f>K1428</f>
        <v>3700</v>
      </c>
      <c r="N1428" s="24">
        <f>H1428</f>
        <v>8500</v>
      </c>
      <c r="O1428" s="24"/>
      <c r="P1428" s="2"/>
      <c r="Q1428" s="2"/>
    </row>
    <row r="1429" spans="1:17">
      <c r="A1429" s="2"/>
      <c r="B1429" s="2"/>
      <c r="C1429" s="2"/>
      <c r="D1429">
        <v>7</v>
      </c>
      <c r="E1429" t="s">
        <v>5</v>
      </c>
      <c r="F1429" s="24">
        <f>F1446</f>
        <v>8500</v>
      </c>
      <c r="G1429" s="24">
        <f>G1446+4500</f>
        <v>9200</v>
      </c>
      <c r="H1429" s="24">
        <f>J1428</f>
        <v>5000</v>
      </c>
      <c r="I1429" s="24">
        <f>I1446+4500</f>
        <v>12700</v>
      </c>
      <c r="J1429" s="24"/>
      <c r="K1429" s="24"/>
      <c r="L1429" s="24"/>
      <c r="M1429" s="24"/>
      <c r="N1429" s="24"/>
      <c r="O1429" s="24"/>
      <c r="P1429" s="2"/>
      <c r="Q1429" s="2"/>
    </row>
    <row r="1430" spans="1:17">
      <c r="A1430" s="2"/>
      <c r="B1430" s="2"/>
      <c r="C1430" s="2"/>
      <c r="D1430" s="2">
        <f>F1430*2+4</f>
        <v>14</v>
      </c>
      <c r="E1430" s="2" t="s">
        <v>4</v>
      </c>
      <c r="F1430" s="24">
        <v>5</v>
      </c>
      <c r="G1430" s="24">
        <f>G1434+13500</f>
        <v>13700</v>
      </c>
      <c r="H1430" s="24">
        <f>H1434</f>
        <v>8500</v>
      </c>
      <c r="I1430" s="24">
        <f>I1434+13500</f>
        <v>13700</v>
      </c>
      <c r="J1430" s="24">
        <f>J1434</f>
        <v>5000</v>
      </c>
      <c r="K1430" s="24">
        <f>K1434+13500</f>
        <v>14700</v>
      </c>
      <c r="L1430" s="24">
        <f>L1434</f>
        <v>5000</v>
      </c>
      <c r="M1430" s="24">
        <f>M1434+13500</f>
        <v>17200</v>
      </c>
      <c r="N1430" s="24">
        <f>N1434</f>
        <v>7500</v>
      </c>
      <c r="O1430" s="24">
        <f>O1434+13500</f>
        <v>17200</v>
      </c>
      <c r="P1430" s="2">
        <f>P1434</f>
        <v>8500</v>
      </c>
      <c r="Q1430" s="2"/>
    </row>
    <row r="1431" spans="1:17">
      <c r="A1431" s="2"/>
      <c r="B1431" s="2"/>
      <c r="C1431" s="2"/>
      <c r="D1431">
        <v>4</v>
      </c>
      <c r="E1431" t="s">
        <v>15</v>
      </c>
      <c r="F1431" s="6">
        <v>4</v>
      </c>
      <c r="G1431" s="24"/>
      <c r="H1431" s="24"/>
      <c r="I1431" s="24"/>
      <c r="J1431" s="24"/>
      <c r="K1431" s="24"/>
      <c r="L1431" s="24"/>
      <c r="M1431" s="24"/>
      <c r="N1431" s="24"/>
      <c r="O1431" s="24"/>
      <c r="P1431" s="2"/>
      <c r="Q1431" s="2"/>
    </row>
    <row r="1432" spans="1:17">
      <c r="A1432" s="2"/>
      <c r="B1432" s="2"/>
      <c r="C1432" s="2"/>
      <c r="D1432" s="2">
        <f>F1432*2+4</f>
        <v>10</v>
      </c>
      <c r="E1432" s="2" t="s">
        <v>4</v>
      </c>
      <c r="F1432" s="24">
        <v>3</v>
      </c>
      <c r="G1432" s="24">
        <f>G1414</f>
        <v>200</v>
      </c>
      <c r="H1432" s="24">
        <f>H1415</f>
        <v>4000</v>
      </c>
      <c r="I1432" s="24">
        <f>G1432</f>
        <v>200</v>
      </c>
      <c r="J1432" s="24">
        <f>H1432-2500</f>
        <v>1500</v>
      </c>
      <c r="K1432" s="24">
        <f>I1432+H1432-J1432</f>
        <v>2700</v>
      </c>
      <c r="L1432" s="24">
        <f>H1432</f>
        <v>4000</v>
      </c>
      <c r="M1432" s="24"/>
      <c r="N1432" s="24"/>
      <c r="O1432" s="24"/>
      <c r="P1432" s="2"/>
      <c r="Q1432" s="2"/>
    </row>
    <row r="1433" spans="1:17">
      <c r="A1433" s="2"/>
      <c r="B1433" s="2"/>
      <c r="C1433" s="2"/>
      <c r="D1433" s="2">
        <f>F1433*2+4</f>
        <v>8</v>
      </c>
      <c r="E1433" s="2" t="s">
        <v>1</v>
      </c>
      <c r="F1433" s="24">
        <v>2</v>
      </c>
      <c r="G1433" s="24">
        <f>I1433+3600</f>
        <v>3700</v>
      </c>
      <c r="H1433" s="24">
        <f>J1433</f>
        <v>1500</v>
      </c>
      <c r="I1433" s="24">
        <f>G1415</f>
        <v>100</v>
      </c>
      <c r="J1433" s="24">
        <f>J1432</f>
        <v>1500</v>
      </c>
      <c r="K1433" s="24"/>
      <c r="L1433" s="24"/>
      <c r="M1433" s="24"/>
      <c r="N1433" s="24"/>
      <c r="O1433" s="24"/>
      <c r="P1433" s="2"/>
      <c r="Q1433" s="2"/>
    </row>
    <row r="1434" spans="1:17">
      <c r="A1434" s="2"/>
      <c r="B1434" s="2"/>
      <c r="C1434" s="2"/>
      <c r="D1434" s="2">
        <f>F1434*2+4</f>
        <v>14</v>
      </c>
      <c r="E1434" s="2" t="s">
        <v>4</v>
      </c>
      <c r="F1434" s="24">
        <v>5</v>
      </c>
      <c r="G1434" s="24">
        <f>G1416</f>
        <v>200</v>
      </c>
      <c r="H1434" s="24">
        <f>H1417</f>
        <v>8500</v>
      </c>
      <c r="I1434" s="24">
        <f>G1434</f>
        <v>200</v>
      </c>
      <c r="J1434" s="24">
        <f>H1434-3500</f>
        <v>5000</v>
      </c>
      <c r="K1434" s="24">
        <f>I1434+1000</f>
        <v>1200</v>
      </c>
      <c r="L1434" s="24">
        <f>J1434</f>
        <v>5000</v>
      </c>
      <c r="M1434" s="24">
        <f>O1434</f>
        <v>3700</v>
      </c>
      <c r="N1434" s="24">
        <f>P1434-1000</f>
        <v>7500</v>
      </c>
      <c r="O1434" s="24">
        <f>G1434+3500</f>
        <v>3700</v>
      </c>
      <c r="P1434" s="2">
        <f>H1434</f>
        <v>8500</v>
      </c>
      <c r="Q1434" s="2"/>
    </row>
    <row r="1435" spans="1:17">
      <c r="A1435" s="2"/>
      <c r="B1435" s="2"/>
      <c r="C1435" s="2"/>
      <c r="D1435">
        <v>4</v>
      </c>
      <c r="E1435" t="s">
        <v>15</v>
      </c>
      <c r="F1435" s="6">
        <v>5</v>
      </c>
      <c r="G1435" s="24"/>
      <c r="H1435" s="24"/>
      <c r="I1435" s="24"/>
      <c r="J1435" s="24"/>
      <c r="K1435" s="24"/>
      <c r="L1435" s="24"/>
      <c r="M1435" s="24"/>
      <c r="N1435" s="24"/>
      <c r="O1435" s="24"/>
      <c r="P1435" s="2"/>
      <c r="Q1435" s="2"/>
    </row>
    <row r="1436" spans="1:17">
      <c r="A1436" s="2"/>
      <c r="B1436" s="2"/>
      <c r="C1436" s="2"/>
      <c r="D1436" s="2">
        <f>F1436*2+4</f>
        <v>8</v>
      </c>
      <c r="E1436" s="2" t="s">
        <v>1</v>
      </c>
      <c r="F1436" s="24">
        <v>2</v>
      </c>
      <c r="G1436" s="24">
        <f>I1432</f>
        <v>200</v>
      </c>
      <c r="H1436" s="24">
        <f>J1432</f>
        <v>1500</v>
      </c>
      <c r="I1436" s="24">
        <f>K1432</f>
        <v>2700</v>
      </c>
      <c r="J1436" s="24">
        <f>L1432</f>
        <v>4000</v>
      </c>
      <c r="K1436" s="24"/>
      <c r="L1436" s="24"/>
      <c r="M1436" s="24"/>
      <c r="N1436" s="24"/>
      <c r="O1436" s="24"/>
      <c r="P1436" s="2"/>
      <c r="Q1436" s="2"/>
    </row>
    <row r="1437" spans="1:17">
      <c r="A1437" s="2"/>
      <c r="B1437" s="2"/>
      <c r="C1437" s="2"/>
      <c r="D1437" s="2">
        <f>F1437*2+4</f>
        <v>8</v>
      </c>
      <c r="E1437" s="2" t="s">
        <v>1</v>
      </c>
      <c r="F1437" s="24">
        <v>2</v>
      </c>
      <c r="G1437" s="24">
        <f>K1434</f>
        <v>1200</v>
      </c>
      <c r="H1437" s="24">
        <f>L1434</f>
        <v>5000</v>
      </c>
      <c r="I1437" s="24">
        <f>M1434</f>
        <v>3700</v>
      </c>
      <c r="J1437" s="24">
        <f>N1434</f>
        <v>7500</v>
      </c>
      <c r="K1437" s="24"/>
      <c r="L1437" s="24"/>
      <c r="M1437" s="24"/>
      <c r="N1437" s="24"/>
      <c r="O1437" s="24"/>
      <c r="P1437" s="2"/>
      <c r="Q1437" s="2"/>
    </row>
    <row r="1438" spans="1:17">
      <c r="A1438" s="2"/>
      <c r="B1438" s="2"/>
      <c r="C1438" s="2"/>
      <c r="D1438">
        <v>4</v>
      </c>
      <c r="E1438" t="s">
        <v>15</v>
      </c>
      <c r="F1438" s="6">
        <v>2</v>
      </c>
      <c r="G1438" s="24"/>
      <c r="H1438" s="24"/>
      <c r="I1438" s="24"/>
      <c r="J1438" s="24"/>
      <c r="K1438" s="24"/>
      <c r="L1438" s="24"/>
      <c r="M1438" s="24"/>
      <c r="N1438" s="24"/>
      <c r="O1438" s="24"/>
      <c r="P1438" s="2"/>
      <c r="Q1438" s="2"/>
    </row>
    <row r="1439" spans="1:17">
      <c r="A1439" s="2"/>
      <c r="B1439" s="2"/>
      <c r="C1439" s="2"/>
      <c r="D1439" s="2">
        <f>F1439*2+4</f>
        <v>8</v>
      </c>
      <c r="E1439" s="2" t="s">
        <v>1</v>
      </c>
      <c r="F1439" s="24">
        <v>2</v>
      </c>
      <c r="G1439" s="24">
        <f>G1432</f>
        <v>200</v>
      </c>
      <c r="H1439" s="24">
        <f>J1425</f>
        <v>500</v>
      </c>
      <c r="I1439" s="24">
        <f>K1425</f>
        <v>3700</v>
      </c>
      <c r="J1439" s="24">
        <f>H1425</f>
        <v>4000</v>
      </c>
      <c r="K1439" s="24"/>
      <c r="L1439" s="24"/>
      <c r="M1439" s="24"/>
      <c r="N1439" s="24"/>
      <c r="O1439" s="24"/>
      <c r="P1439" s="2"/>
      <c r="Q1439" s="2"/>
    </row>
    <row r="1440" spans="1:17">
      <c r="A1440" s="2"/>
      <c r="B1440" s="2"/>
      <c r="C1440" s="2"/>
      <c r="D1440" s="2">
        <f>F1440*2+4</f>
        <v>8</v>
      </c>
      <c r="E1440" s="2" t="s">
        <v>1</v>
      </c>
      <c r="F1440" s="24">
        <v>2</v>
      </c>
      <c r="G1440" s="24">
        <f>G1434</f>
        <v>200</v>
      </c>
      <c r="H1440" s="24">
        <f>J1428</f>
        <v>5000</v>
      </c>
      <c r="I1440" s="24">
        <f>K1428</f>
        <v>3700</v>
      </c>
      <c r="J1440" s="24">
        <f>H1428</f>
        <v>8500</v>
      </c>
      <c r="K1440" s="24"/>
      <c r="L1440" s="24"/>
      <c r="M1440" s="24"/>
      <c r="N1440" s="24"/>
      <c r="O1440" s="24"/>
      <c r="P1440" s="2"/>
      <c r="Q1440" s="2"/>
    </row>
    <row r="1441" spans="1:17">
      <c r="A1441" s="2"/>
      <c r="B1441" s="2"/>
      <c r="C1441" s="2"/>
      <c r="D1441" s="2"/>
      <c r="E1441" s="24" t="s">
        <v>515</v>
      </c>
      <c r="F1441" s="40" t="s">
        <v>565</v>
      </c>
      <c r="G1441" s="24">
        <v>4000</v>
      </c>
      <c r="H1441" s="24">
        <f>H1414-2400</f>
        <v>1700</v>
      </c>
      <c r="I1441" s="24">
        <f>G1441+4500</f>
        <v>8500</v>
      </c>
      <c r="J1441" s="24">
        <f>I1441+4500</f>
        <v>13000</v>
      </c>
      <c r="K1441" s="24">
        <f t="shared" ref="K1441:M1442" si="94">I1448</f>
        <v>5700</v>
      </c>
      <c r="L1441" s="24">
        <f t="shared" si="94"/>
        <v>10200</v>
      </c>
      <c r="M1441" s="24">
        <f t="shared" si="94"/>
        <v>14700</v>
      </c>
      <c r="N1441" s="24"/>
      <c r="O1441" s="24"/>
      <c r="P1441" s="2"/>
      <c r="Q1441" s="2"/>
    </row>
    <row r="1442" spans="1:17">
      <c r="A1442" s="2"/>
      <c r="B1442" s="2"/>
      <c r="C1442" s="2"/>
      <c r="D1442" s="2"/>
      <c r="E1442" s="24" t="s">
        <v>515</v>
      </c>
      <c r="F1442" s="40" t="s">
        <v>565</v>
      </c>
      <c r="G1442" s="24">
        <v>4000</v>
      </c>
      <c r="H1442" s="24">
        <f>H1416-2400</f>
        <v>6200</v>
      </c>
      <c r="I1442" s="24">
        <f>G1442+4500</f>
        <v>8500</v>
      </c>
      <c r="J1442" s="24">
        <f>I1442+4500</f>
        <v>13000</v>
      </c>
      <c r="K1442" s="24">
        <f t="shared" si="94"/>
        <v>5700</v>
      </c>
      <c r="L1442" s="24">
        <f t="shared" si="94"/>
        <v>10200</v>
      </c>
      <c r="M1442" s="24">
        <f t="shared" si="94"/>
        <v>14700</v>
      </c>
      <c r="N1442" s="24"/>
      <c r="O1442" s="24"/>
      <c r="P1442" s="2"/>
      <c r="Q1442" s="2"/>
    </row>
    <row r="1443" spans="1:17">
      <c r="A1443" s="2"/>
      <c r="B1443" s="2"/>
      <c r="C1443" s="2"/>
      <c r="D1443">
        <v>4</v>
      </c>
      <c r="E1443" t="s">
        <v>15</v>
      </c>
      <c r="F1443" s="6">
        <v>1</v>
      </c>
      <c r="G1443" s="24"/>
      <c r="H1443" s="24"/>
      <c r="I1443" s="24"/>
      <c r="J1443" s="24"/>
      <c r="K1443" s="24"/>
      <c r="L1443" s="24"/>
      <c r="M1443" s="24"/>
      <c r="N1443" s="24"/>
      <c r="O1443" s="24"/>
      <c r="P1443" s="2"/>
      <c r="Q1443" s="2"/>
    </row>
    <row r="1444" spans="1:17">
      <c r="A1444" s="2"/>
      <c r="B1444" s="2"/>
      <c r="C1444" s="2"/>
      <c r="D1444">
        <v>4</v>
      </c>
      <c r="E1444" t="s">
        <v>15</v>
      </c>
      <c r="F1444" s="6">
        <v>7</v>
      </c>
      <c r="G1444" s="24"/>
      <c r="H1444" s="24"/>
      <c r="I1444" s="24"/>
      <c r="J1444" s="24"/>
      <c r="K1444" s="24"/>
      <c r="L1444" s="24"/>
      <c r="M1444" s="24"/>
      <c r="N1444" s="24"/>
      <c r="O1444" s="24"/>
      <c r="P1444" s="2"/>
      <c r="Q1444" s="2"/>
    </row>
    <row r="1445" spans="1:17">
      <c r="A1445" s="2"/>
      <c r="B1445" s="2"/>
      <c r="C1445" s="2"/>
      <c r="D1445">
        <v>7</v>
      </c>
      <c r="E1445" t="s">
        <v>5</v>
      </c>
      <c r="F1445" s="6">
        <f>H1415</f>
        <v>4000</v>
      </c>
      <c r="G1445" s="6">
        <f>G1414+4500</f>
        <v>4700</v>
      </c>
      <c r="H1445" s="6">
        <f>F1445-3500</f>
        <v>500</v>
      </c>
      <c r="I1445" s="6">
        <f>G1445+3500</f>
        <v>8200</v>
      </c>
      <c r="J1445" s="24"/>
      <c r="K1445" s="24"/>
      <c r="L1445" s="24"/>
      <c r="M1445" s="24"/>
      <c r="N1445" s="24"/>
      <c r="O1445" s="24"/>
      <c r="P1445" s="2"/>
      <c r="Q1445" s="2"/>
    </row>
    <row r="1446" spans="1:17">
      <c r="A1446" s="2"/>
      <c r="B1446" s="2"/>
      <c r="C1446" s="2"/>
      <c r="D1446">
        <v>7</v>
      </c>
      <c r="E1446" t="s">
        <v>5</v>
      </c>
      <c r="F1446" s="6">
        <f>H1417</f>
        <v>8500</v>
      </c>
      <c r="G1446" s="6">
        <f>G1416+4500</f>
        <v>4700</v>
      </c>
      <c r="H1446" s="6">
        <f>F1446-3500</f>
        <v>5000</v>
      </c>
      <c r="I1446" s="6">
        <f>G1446+3500</f>
        <v>8200</v>
      </c>
      <c r="J1446" s="24"/>
      <c r="K1446" s="24"/>
      <c r="L1446" s="24"/>
      <c r="M1446" s="24"/>
      <c r="N1446" s="24"/>
      <c r="O1446" s="24"/>
      <c r="P1446" s="2"/>
      <c r="Q1446" s="2"/>
    </row>
    <row r="1447" spans="1:17">
      <c r="A1447" s="2"/>
      <c r="B1447" s="2"/>
      <c r="C1447" s="2"/>
      <c r="D1447">
        <v>4</v>
      </c>
      <c r="E1447" t="s">
        <v>15</v>
      </c>
      <c r="F1447" s="6">
        <v>0</v>
      </c>
      <c r="G1447" s="24"/>
      <c r="H1447" s="24"/>
      <c r="I1447" s="24"/>
      <c r="J1447" s="24"/>
      <c r="K1447" s="24"/>
      <c r="L1447" s="24"/>
      <c r="M1447" s="24"/>
      <c r="N1447" s="24"/>
      <c r="O1447" s="24"/>
      <c r="P1447" s="2"/>
      <c r="Q1447" s="2"/>
    </row>
    <row r="1448" spans="1:17">
      <c r="A1448" s="2"/>
      <c r="B1448" s="2"/>
      <c r="C1448" s="2"/>
      <c r="D1448" s="2"/>
      <c r="E1448" s="24" t="s">
        <v>515</v>
      </c>
      <c r="F1448" s="24" t="s">
        <v>564</v>
      </c>
      <c r="G1448" s="24">
        <v>1200</v>
      </c>
      <c r="H1448" s="24">
        <f>H1414-3500</f>
        <v>600</v>
      </c>
      <c r="I1448" s="24">
        <f>G1448+4500</f>
        <v>5700</v>
      </c>
      <c r="J1448" s="24">
        <f>I1448+4500</f>
        <v>10200</v>
      </c>
      <c r="K1448" s="24">
        <f>J1448+4500</f>
        <v>14700</v>
      </c>
      <c r="L1448" s="24"/>
      <c r="M1448" s="24"/>
      <c r="N1448" s="24"/>
      <c r="O1448" s="24"/>
      <c r="P1448" s="2"/>
      <c r="Q1448" s="2"/>
    </row>
    <row r="1449" spans="1:17">
      <c r="A1449" s="2"/>
      <c r="B1449" s="2"/>
      <c r="C1449" s="2"/>
      <c r="D1449" s="2"/>
      <c r="E1449" s="24" t="s">
        <v>515</v>
      </c>
      <c r="F1449" s="24" t="s">
        <v>564</v>
      </c>
      <c r="G1449" s="24">
        <v>1200</v>
      </c>
      <c r="H1449" s="24">
        <f>H1416-4200</f>
        <v>4400</v>
      </c>
      <c r="I1449" s="24">
        <f>G1449+4500</f>
        <v>5700</v>
      </c>
      <c r="J1449" s="24">
        <f>I1449+4500</f>
        <v>10200</v>
      </c>
      <c r="K1449" s="24">
        <f>J1449+4500</f>
        <v>14700</v>
      </c>
      <c r="L1449" s="24"/>
      <c r="M1449" s="24"/>
      <c r="N1449" s="24"/>
      <c r="O1449" s="24"/>
      <c r="P1449" s="2"/>
      <c r="Q1449" s="2"/>
    </row>
    <row r="1450" spans="1:17">
      <c r="A1450" s="2"/>
      <c r="B1450" s="2"/>
      <c r="C1450" s="2"/>
      <c r="D1450">
        <v>4</v>
      </c>
      <c r="E1450" t="s">
        <v>15</v>
      </c>
      <c r="F1450" s="6">
        <v>3</v>
      </c>
      <c r="G1450" s="24"/>
      <c r="H1450" s="24"/>
      <c r="I1450" s="24"/>
      <c r="J1450" s="24"/>
      <c r="K1450" s="24"/>
      <c r="L1450" s="24"/>
      <c r="M1450" s="24"/>
      <c r="N1450" s="24"/>
      <c r="O1450" s="24"/>
      <c r="P1450" s="2"/>
      <c r="Q1450" s="2"/>
    </row>
    <row r="1451" spans="1:17">
      <c r="A1451" s="2"/>
      <c r="B1451" s="2"/>
      <c r="C1451" s="2"/>
      <c r="D1451" s="2">
        <f>F1451*2+4</f>
        <v>10</v>
      </c>
      <c r="E1451" s="2" t="s">
        <v>4</v>
      </c>
      <c r="F1451" s="24">
        <v>3</v>
      </c>
      <c r="G1451" s="24">
        <f>G1432</f>
        <v>200</v>
      </c>
      <c r="H1451" s="24">
        <f>H1432</f>
        <v>4000</v>
      </c>
      <c r="I1451" s="24">
        <f>G1451</f>
        <v>200</v>
      </c>
      <c r="J1451" s="24">
        <f>H1451-400</f>
        <v>3600</v>
      </c>
      <c r="K1451" s="24">
        <f>G1451+400</f>
        <v>600</v>
      </c>
      <c r="L1451" s="24">
        <f>H1451</f>
        <v>4000</v>
      </c>
      <c r="M1451" s="24"/>
      <c r="N1451" s="24"/>
      <c r="O1451" s="24"/>
      <c r="P1451" s="2"/>
      <c r="Q1451" s="2"/>
    </row>
    <row r="1452" spans="1:17">
      <c r="A1452" s="2"/>
      <c r="B1452" s="2"/>
      <c r="C1452" s="2"/>
      <c r="D1452" s="2">
        <f>F1452*2+4</f>
        <v>10</v>
      </c>
      <c r="E1452" s="2" t="s">
        <v>4</v>
      </c>
      <c r="F1452" s="24">
        <v>3</v>
      </c>
      <c r="G1452" s="24">
        <f>G1434</f>
        <v>200</v>
      </c>
      <c r="H1452" s="24">
        <f>H1434</f>
        <v>8500</v>
      </c>
      <c r="I1452" s="24">
        <f>G1452</f>
        <v>200</v>
      </c>
      <c r="J1452" s="24">
        <f>H1452-400</f>
        <v>8100</v>
      </c>
      <c r="K1452" s="24">
        <f>G1452+400</f>
        <v>600</v>
      </c>
      <c r="L1452" s="24">
        <f>H1452</f>
        <v>8500</v>
      </c>
      <c r="M1452" s="24"/>
      <c r="N1452" s="24"/>
      <c r="O1452" s="24"/>
      <c r="P1452" s="2"/>
      <c r="Q1452" s="2"/>
    </row>
    <row r="1453" spans="1:17">
      <c r="A1453" s="2"/>
      <c r="B1453" s="2"/>
      <c r="C1453" s="2"/>
      <c r="D1453" s="2">
        <f>F1453*2+4</f>
        <v>10</v>
      </c>
      <c r="E1453" s="2" t="s">
        <v>4</v>
      </c>
      <c r="F1453" s="24">
        <v>3</v>
      </c>
      <c r="G1453" s="24">
        <f>G1451+13500</f>
        <v>13700</v>
      </c>
      <c r="H1453" s="24">
        <f>H1451</f>
        <v>4000</v>
      </c>
      <c r="I1453" s="24">
        <f>I1451+13500</f>
        <v>13700</v>
      </c>
      <c r="J1453" s="24">
        <f>J1451</f>
        <v>3600</v>
      </c>
      <c r="K1453" s="24">
        <f>K1451+13500</f>
        <v>14100</v>
      </c>
      <c r="L1453" s="24">
        <f>L1451</f>
        <v>4000</v>
      </c>
      <c r="M1453" s="24"/>
      <c r="N1453" s="24"/>
      <c r="O1453" s="24"/>
      <c r="P1453" s="2"/>
      <c r="Q1453" s="2"/>
    </row>
    <row r="1454" spans="1:17">
      <c r="A1454" s="2"/>
      <c r="B1454" s="2"/>
      <c r="C1454" s="2"/>
      <c r="D1454" s="2">
        <f>F1454*2+4</f>
        <v>10</v>
      </c>
      <c r="E1454" s="2" t="s">
        <v>4</v>
      </c>
      <c r="F1454" s="24">
        <v>3</v>
      </c>
      <c r="G1454" s="24">
        <f>G1452+13500</f>
        <v>13700</v>
      </c>
      <c r="H1454" s="24">
        <f>H1452</f>
        <v>8500</v>
      </c>
      <c r="I1454" s="24">
        <f>I1452+13500</f>
        <v>13700</v>
      </c>
      <c r="J1454" s="24">
        <f>J1452</f>
        <v>8100</v>
      </c>
      <c r="K1454" s="24">
        <f>K1452+13500</f>
        <v>14100</v>
      </c>
      <c r="L1454" s="24">
        <f>L1452</f>
        <v>8500</v>
      </c>
      <c r="M1454" s="24"/>
      <c r="N1454" s="24"/>
      <c r="O1454" s="24"/>
      <c r="P1454" s="2"/>
      <c r="Q1454" s="2"/>
    </row>
    <row r="1455" spans="1:17">
      <c r="A1455" s="2"/>
      <c r="B1455" s="2"/>
      <c r="C1455" s="2"/>
      <c r="D1455" s="2"/>
      <c r="E1455" s="2"/>
      <c r="F1455" s="24"/>
      <c r="G1455" s="36"/>
      <c r="H1455" s="24"/>
      <c r="I1455" s="24"/>
      <c r="J1455" s="24"/>
      <c r="K1455" s="24"/>
      <c r="L1455" s="24"/>
      <c r="M1455" s="24"/>
      <c r="N1455" s="24"/>
      <c r="O1455" s="24"/>
      <c r="P1455" s="2"/>
      <c r="Q1455" s="2"/>
    </row>
    <row r="1458" spans="1:28">
      <c r="A1458" s="48" t="s">
        <v>383</v>
      </c>
      <c r="B1458" s="2" t="s">
        <v>194</v>
      </c>
      <c r="C1458" s="2"/>
      <c r="D1458" s="2"/>
      <c r="E1458" s="2">
        <v>52695</v>
      </c>
      <c r="F1458" s="24">
        <v>39622</v>
      </c>
      <c r="G1458" s="24">
        <v>0</v>
      </c>
      <c r="H1458" s="24">
        <v>0</v>
      </c>
      <c r="I1458" s="24">
        <v>0</v>
      </c>
      <c r="J1458" s="24">
        <v>5360</v>
      </c>
      <c r="K1458" s="24">
        <v>1600</v>
      </c>
      <c r="L1458" s="24">
        <v>800</v>
      </c>
      <c r="M1458" s="24">
        <v>0</v>
      </c>
      <c r="N1458" s="24">
        <v>0</v>
      </c>
      <c r="O1458" s="24" t="e">
        <f ca="1">checksummeint(G1458,H1458,I1458,J1458,K1458,L1458,M1458,N1458)</f>
        <v>#NAME?</v>
      </c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</row>
    <row r="1459" spans="1:28">
      <c r="C1459" s="2"/>
      <c r="D1459" s="2">
        <v>28</v>
      </c>
      <c r="E1459" s="2" t="s">
        <v>12</v>
      </c>
      <c r="F1459" s="24">
        <v>150</v>
      </c>
      <c r="G1459" s="24">
        <v>0</v>
      </c>
      <c r="H1459" s="24">
        <v>0</v>
      </c>
      <c r="I1459" s="24">
        <v>0</v>
      </c>
      <c r="J1459" s="24">
        <v>400</v>
      </c>
      <c r="K1459" s="24">
        <v>0</v>
      </c>
      <c r="L1459" s="24">
        <v>0</v>
      </c>
      <c r="M1459" s="24">
        <v>0</v>
      </c>
      <c r="N1459" s="24">
        <v>0</v>
      </c>
      <c r="O1459" s="24" t="s">
        <v>19</v>
      </c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</row>
    <row r="1460" spans="1:28">
      <c r="C1460" s="2">
        <v>1</v>
      </c>
      <c r="D1460" s="2">
        <v>8</v>
      </c>
      <c r="E1460" s="2" t="s">
        <v>14</v>
      </c>
      <c r="F1460" s="24">
        <v>0</v>
      </c>
      <c r="G1460" s="24">
        <v>8</v>
      </c>
      <c r="H1460" s="24">
        <v>0</v>
      </c>
      <c r="I1460" s="24">
        <v>0</v>
      </c>
      <c r="J1460" s="24">
        <v>0</v>
      </c>
      <c r="K1460" s="24"/>
      <c r="L1460" s="24"/>
      <c r="M1460" s="24"/>
      <c r="N1460" s="24"/>
      <c r="O1460" s="24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</row>
    <row r="1461" spans="1:28">
      <c r="C1461" s="2">
        <v>2</v>
      </c>
      <c r="D1461" s="2">
        <v>7</v>
      </c>
      <c r="E1461" s="2" t="s">
        <v>11</v>
      </c>
      <c r="F1461" s="24">
        <v>0</v>
      </c>
      <c r="G1461" s="24">
        <v>0</v>
      </c>
      <c r="H1461" s="24">
        <v>0</v>
      </c>
      <c r="I1461" s="24">
        <v>0</v>
      </c>
      <c r="J1461" s="24"/>
      <c r="K1461" s="24"/>
      <c r="L1461" s="24"/>
      <c r="M1461" s="24"/>
      <c r="N1461" s="24"/>
      <c r="O1461" s="24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</row>
    <row r="1462" spans="1:28">
      <c r="C1462" s="2">
        <v>3</v>
      </c>
      <c r="D1462" s="2">
        <v>8</v>
      </c>
      <c r="E1462" s="2" t="s">
        <v>14</v>
      </c>
      <c r="F1462" s="24">
        <v>0</v>
      </c>
      <c r="G1462" s="24">
        <v>4</v>
      </c>
      <c r="H1462" s="24">
        <v>0</v>
      </c>
      <c r="I1462" s="24">
        <f>255*256+J1462</f>
        <v>65472</v>
      </c>
      <c r="J1462" s="24">
        <f>H1463</f>
        <v>192</v>
      </c>
      <c r="K1462" s="24"/>
      <c r="L1462" s="24"/>
      <c r="M1462" s="24"/>
      <c r="N1462" s="24"/>
      <c r="O1462" s="24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</row>
    <row r="1463" spans="1:28">
      <c r="C1463" s="2">
        <v>4</v>
      </c>
      <c r="D1463" s="2">
        <v>7</v>
      </c>
      <c r="E1463" s="2" t="s">
        <v>11</v>
      </c>
      <c r="F1463" s="24">
        <v>0</v>
      </c>
      <c r="G1463" s="24">
        <f>255*256+H1463</f>
        <v>65472</v>
      </c>
      <c r="H1463" s="24">
        <v>192</v>
      </c>
      <c r="I1463" s="24">
        <v>0</v>
      </c>
      <c r="J1463" s="24"/>
      <c r="K1463" s="24"/>
      <c r="L1463" s="24"/>
      <c r="M1463" s="24"/>
      <c r="N1463" s="24"/>
      <c r="O1463" s="24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</row>
    <row r="1464" spans="1:28">
      <c r="C1464" s="2">
        <v>5</v>
      </c>
      <c r="D1464" s="2">
        <v>28</v>
      </c>
      <c r="E1464" s="2" t="s">
        <v>12</v>
      </c>
      <c r="F1464" s="24">
        <v>150</v>
      </c>
      <c r="G1464" s="24">
        <v>0</v>
      </c>
      <c r="H1464" s="24">
        <v>3350</v>
      </c>
      <c r="I1464" s="24">
        <v>0</v>
      </c>
      <c r="J1464" s="24">
        <v>400</v>
      </c>
      <c r="K1464" s="24">
        <v>0</v>
      </c>
      <c r="L1464" s="24">
        <v>0</v>
      </c>
      <c r="M1464" s="24">
        <v>0</v>
      </c>
      <c r="N1464" s="24">
        <v>0</v>
      </c>
      <c r="O1464" s="24" t="s">
        <v>19</v>
      </c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</row>
    <row r="1465" spans="1:28">
      <c r="C1465" s="2">
        <v>6</v>
      </c>
      <c r="D1465" s="2">
        <v>28</v>
      </c>
      <c r="E1465" s="2" t="s">
        <v>12</v>
      </c>
      <c r="F1465" s="24">
        <v>100</v>
      </c>
      <c r="G1465" s="24">
        <v>0</v>
      </c>
      <c r="H1465" s="24">
        <v>3450</v>
      </c>
      <c r="I1465" s="24">
        <v>0</v>
      </c>
      <c r="J1465" s="24">
        <v>400</v>
      </c>
      <c r="K1465" s="24">
        <v>0</v>
      </c>
      <c r="L1465" s="24">
        <v>0</v>
      </c>
      <c r="M1465" s="24">
        <v>0</v>
      </c>
      <c r="N1465" s="24">
        <v>0</v>
      </c>
      <c r="O1465" s="24" t="s">
        <v>19</v>
      </c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</row>
    <row r="1466" spans="1:28">
      <c r="C1466" s="2">
        <v>7</v>
      </c>
      <c r="D1466" s="2">
        <v>8</v>
      </c>
      <c r="E1466" s="2" t="s">
        <v>14</v>
      </c>
      <c r="F1466" s="24">
        <v>0</v>
      </c>
      <c r="G1466" s="24">
        <v>12</v>
      </c>
      <c r="H1466" s="24">
        <v>0</v>
      </c>
      <c r="I1466" s="24">
        <v>0</v>
      </c>
      <c r="J1466" s="24">
        <v>0</v>
      </c>
      <c r="K1466" s="24"/>
      <c r="L1466" s="24"/>
      <c r="M1466" s="24"/>
      <c r="N1466" s="24"/>
      <c r="O1466" s="24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</row>
    <row r="1467" spans="1:28">
      <c r="C1467" s="2">
        <v>8</v>
      </c>
      <c r="D1467" s="2">
        <v>7</v>
      </c>
      <c r="E1467" s="2" t="s">
        <v>11</v>
      </c>
      <c r="F1467" s="24">
        <v>0</v>
      </c>
      <c r="G1467" s="24">
        <f>255*256+H1467</f>
        <v>65520</v>
      </c>
      <c r="H1467" s="24">
        <v>240</v>
      </c>
      <c r="I1467" s="24">
        <v>0</v>
      </c>
      <c r="J1467" s="24"/>
      <c r="K1467" s="24"/>
      <c r="L1467" s="24"/>
      <c r="M1467" s="24"/>
      <c r="N1467" s="24"/>
      <c r="O1467" s="24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</row>
    <row r="1468" spans="1:28">
      <c r="C1468" s="2"/>
      <c r="D1468" s="2">
        <v>4</v>
      </c>
      <c r="E1468" s="2" t="s">
        <v>15</v>
      </c>
      <c r="F1468" s="24">
        <v>0</v>
      </c>
      <c r="G1468" s="24"/>
      <c r="H1468" s="24"/>
      <c r="I1468" s="24"/>
      <c r="J1468" s="24"/>
      <c r="K1468" s="24"/>
      <c r="L1468" s="24"/>
      <c r="M1468" s="24"/>
      <c r="N1468" s="24"/>
      <c r="O1468" s="24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</row>
    <row r="1469" spans="1:28">
      <c r="C1469" s="2"/>
      <c r="D1469" s="2">
        <v>4</v>
      </c>
      <c r="E1469" s="2" t="s">
        <v>15</v>
      </c>
      <c r="F1469" s="24">
        <v>1</v>
      </c>
      <c r="G1469" s="24"/>
      <c r="H1469" s="24"/>
      <c r="I1469" s="24"/>
      <c r="J1469" s="24"/>
      <c r="K1469" s="24"/>
      <c r="L1469" s="24"/>
      <c r="M1469" s="24"/>
      <c r="N1469" s="24"/>
      <c r="O1469" s="24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</row>
    <row r="1470" spans="1:28">
      <c r="C1470" s="2"/>
      <c r="D1470" s="2">
        <v>5</v>
      </c>
      <c r="E1470" s="2" t="s">
        <v>59</v>
      </c>
      <c r="F1470" s="24">
        <v>1</v>
      </c>
      <c r="G1470" s="24">
        <v>0</v>
      </c>
      <c r="H1470" s="24"/>
      <c r="I1470" s="24"/>
      <c r="J1470" s="24"/>
      <c r="K1470" s="24"/>
      <c r="L1470" s="24"/>
      <c r="M1470" s="24"/>
      <c r="N1470" s="24"/>
      <c r="O1470" s="24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</row>
    <row r="1471" spans="1:28">
      <c r="C1471" s="2"/>
      <c r="D1471" s="2">
        <v>4</v>
      </c>
      <c r="E1471" s="2" t="s">
        <v>15</v>
      </c>
      <c r="F1471" s="24">
        <v>2</v>
      </c>
      <c r="G1471" s="24"/>
      <c r="H1471" s="24"/>
      <c r="I1471" s="24"/>
      <c r="J1471" s="24"/>
      <c r="K1471" s="24"/>
      <c r="L1471" s="24"/>
      <c r="M1471" s="24"/>
      <c r="N1471" s="24"/>
      <c r="O1471" s="24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</row>
    <row r="1472" spans="1:28">
      <c r="C1472" s="2"/>
      <c r="D1472" s="2">
        <v>18</v>
      </c>
      <c r="E1472" s="2" t="s">
        <v>111</v>
      </c>
      <c r="F1472" s="24">
        <v>100</v>
      </c>
      <c r="G1472" s="24">
        <v>200</v>
      </c>
      <c r="H1472" s="24">
        <v>1500</v>
      </c>
      <c r="I1472" s="24">
        <v>200</v>
      </c>
      <c r="J1472" s="24">
        <v>150</v>
      </c>
      <c r="K1472" s="24"/>
      <c r="L1472" s="24"/>
      <c r="M1472" s="24"/>
      <c r="N1472" s="24"/>
      <c r="O1472" s="24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</row>
    <row r="1473" spans="3:28">
      <c r="C1473" s="2"/>
      <c r="D1473" s="2">
        <v>18</v>
      </c>
      <c r="E1473" s="2" t="s">
        <v>111</v>
      </c>
      <c r="F1473" s="24">
        <v>100</v>
      </c>
      <c r="G1473" s="24">
        <v>100</v>
      </c>
      <c r="H1473" s="24">
        <v>1400</v>
      </c>
      <c r="I1473" s="24">
        <v>5350</v>
      </c>
      <c r="J1473" s="24">
        <v>1400</v>
      </c>
      <c r="K1473" s="24"/>
      <c r="L1473" s="24"/>
      <c r="M1473" s="24"/>
      <c r="N1473" s="24"/>
      <c r="O1473" s="24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</row>
    <row r="1474" spans="3:28">
      <c r="C1474" s="2"/>
      <c r="D1474" s="2">
        <v>4</v>
      </c>
      <c r="E1474" s="2" t="s">
        <v>15</v>
      </c>
      <c r="F1474" s="24">
        <v>3</v>
      </c>
      <c r="G1474" s="24"/>
      <c r="H1474" s="24"/>
      <c r="I1474" s="24"/>
      <c r="J1474" s="24"/>
      <c r="K1474" s="24"/>
      <c r="L1474" s="24"/>
      <c r="M1474" s="24"/>
      <c r="N1474" s="24"/>
      <c r="O1474" s="24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</row>
    <row r="1475" spans="3:28">
      <c r="C1475" s="2"/>
      <c r="D1475" s="2">
        <f t="shared" ref="D1475:D1501" si="95">F1475*2+4</f>
        <v>10</v>
      </c>
      <c r="E1475" s="2" t="s">
        <v>1</v>
      </c>
      <c r="F1475" s="24">
        <v>3</v>
      </c>
      <c r="G1475" s="24">
        <v>200</v>
      </c>
      <c r="H1475" s="24">
        <v>400</v>
      </c>
      <c r="I1475" s="24">
        <v>1200</v>
      </c>
      <c r="J1475" s="24">
        <v>1400</v>
      </c>
      <c r="K1475" s="24">
        <f>I1475*2-200</f>
        <v>2200</v>
      </c>
      <c r="L1475" s="24">
        <f>H1476</f>
        <v>400</v>
      </c>
      <c r="M1475" s="24"/>
      <c r="N1475" s="24"/>
      <c r="O1475" s="24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</row>
    <row r="1476" spans="3:28">
      <c r="C1476" s="2"/>
      <c r="D1476" s="2">
        <f t="shared" si="95"/>
        <v>10</v>
      </c>
      <c r="E1476" s="2" t="str">
        <f t="shared" ref="E1476:E1501" si="96">E1475</f>
        <v>Polylinie</v>
      </c>
      <c r="F1476" s="24">
        <v>3</v>
      </c>
      <c r="G1476" s="24">
        <f t="shared" ref="G1476:I1491" si="97">G1475</f>
        <v>200</v>
      </c>
      <c r="H1476" s="24">
        <f t="shared" si="97"/>
        <v>400</v>
      </c>
      <c r="I1476" s="24">
        <f>I1475+1000</f>
        <v>2200</v>
      </c>
      <c r="J1476" s="24">
        <f>J1475</f>
        <v>1400</v>
      </c>
      <c r="K1476" s="24">
        <f>I1476*2-200</f>
        <v>4200</v>
      </c>
      <c r="L1476" s="24">
        <f>H1477</f>
        <v>400</v>
      </c>
      <c r="M1476" s="24"/>
      <c r="N1476" s="24"/>
      <c r="O1476" s="24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</row>
    <row r="1477" spans="3:28">
      <c r="C1477" s="2"/>
      <c r="D1477" s="2">
        <f t="shared" si="95"/>
        <v>10</v>
      </c>
      <c r="E1477" s="2" t="str">
        <f t="shared" si="96"/>
        <v>Polylinie</v>
      </c>
      <c r="F1477" s="24">
        <v>3</v>
      </c>
      <c r="G1477" s="24">
        <f t="shared" si="97"/>
        <v>200</v>
      </c>
      <c r="H1477" s="24">
        <f t="shared" si="97"/>
        <v>400</v>
      </c>
      <c r="I1477" s="24">
        <f>I1476+1000</f>
        <v>3200</v>
      </c>
      <c r="J1477" s="24">
        <f>J1476</f>
        <v>1400</v>
      </c>
      <c r="K1477" s="24">
        <v>5200</v>
      </c>
      <c r="L1477" s="24">
        <v>733</v>
      </c>
      <c r="M1477" s="24"/>
      <c r="N1477" s="24"/>
      <c r="O1477" s="24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</row>
    <row r="1478" spans="3:28">
      <c r="C1478" s="2"/>
      <c r="D1478" s="2">
        <f t="shared" si="95"/>
        <v>10</v>
      </c>
      <c r="E1478" s="2" t="str">
        <f t="shared" si="96"/>
        <v>Polylinie</v>
      </c>
      <c r="F1478" s="24">
        <v>3</v>
      </c>
      <c r="G1478" s="24">
        <f t="shared" si="97"/>
        <v>200</v>
      </c>
      <c r="H1478" s="24">
        <f t="shared" si="97"/>
        <v>400</v>
      </c>
      <c r="I1478" s="24">
        <f>I1477+1000</f>
        <v>4200</v>
      </c>
      <c r="J1478" s="24">
        <f>J1477</f>
        <v>1400</v>
      </c>
      <c r="K1478" s="24">
        <v>5200</v>
      </c>
      <c r="L1478" s="24">
        <v>1150</v>
      </c>
      <c r="M1478" s="24"/>
      <c r="N1478" s="24"/>
      <c r="O1478" s="24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</row>
    <row r="1479" spans="3:28">
      <c r="C1479" s="2"/>
      <c r="D1479" s="2">
        <f t="shared" si="95"/>
        <v>8</v>
      </c>
      <c r="E1479" s="2" t="str">
        <f t="shared" si="96"/>
        <v>Polylinie</v>
      </c>
      <c r="F1479" s="24">
        <v>2</v>
      </c>
      <c r="G1479" s="24">
        <f t="shared" si="97"/>
        <v>200</v>
      </c>
      <c r="H1479" s="24">
        <f t="shared" si="97"/>
        <v>400</v>
      </c>
      <c r="I1479" s="24">
        <f>I1478+1000</f>
        <v>5200</v>
      </c>
      <c r="J1479" s="24">
        <f>J1478</f>
        <v>1400</v>
      </c>
      <c r="K1479" s="24"/>
      <c r="L1479" s="24"/>
      <c r="M1479" s="24"/>
      <c r="N1479" s="24"/>
      <c r="O1479" s="24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</row>
    <row r="1480" spans="3:28">
      <c r="C1480" s="2"/>
      <c r="D1480" s="2">
        <f t="shared" si="95"/>
        <v>8</v>
      </c>
      <c r="E1480" s="2" t="str">
        <f t="shared" si="96"/>
        <v>Polylinie</v>
      </c>
      <c r="F1480" s="24">
        <v>2</v>
      </c>
      <c r="G1480" s="24">
        <f t="shared" si="97"/>
        <v>200</v>
      </c>
      <c r="H1480" s="24">
        <f t="shared" si="97"/>
        <v>400</v>
      </c>
      <c r="I1480" s="24">
        <f>I1479</f>
        <v>5200</v>
      </c>
      <c r="J1480" s="24">
        <f>400+5000/6</f>
        <v>1233.3333333333335</v>
      </c>
      <c r="K1480" s="24"/>
      <c r="L1480" s="24"/>
      <c r="M1480" s="24"/>
      <c r="N1480" s="24"/>
      <c r="O1480" s="24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</row>
    <row r="1481" spans="3:28">
      <c r="C1481" s="2"/>
      <c r="D1481" s="2">
        <f t="shared" si="95"/>
        <v>8</v>
      </c>
      <c r="E1481" s="2" t="str">
        <f t="shared" si="96"/>
        <v>Polylinie</v>
      </c>
      <c r="F1481" s="24">
        <v>2</v>
      </c>
      <c r="G1481" s="24">
        <f t="shared" si="97"/>
        <v>200</v>
      </c>
      <c r="H1481" s="24">
        <f t="shared" si="97"/>
        <v>400</v>
      </c>
      <c r="I1481" s="24">
        <f>I1480</f>
        <v>5200</v>
      </c>
      <c r="J1481" s="24">
        <f>400+5000/7</f>
        <v>1114.2857142857142</v>
      </c>
      <c r="K1481" s="24"/>
      <c r="L1481" s="24"/>
      <c r="M1481" s="24"/>
      <c r="N1481" s="24"/>
      <c r="O1481" s="24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</row>
    <row r="1482" spans="3:28">
      <c r="C1482" s="2"/>
      <c r="D1482" s="2">
        <f t="shared" si="95"/>
        <v>8</v>
      </c>
      <c r="E1482" s="2" t="str">
        <f t="shared" si="96"/>
        <v>Polylinie</v>
      </c>
      <c r="F1482" s="24">
        <v>2</v>
      </c>
      <c r="G1482" s="24">
        <f t="shared" si="97"/>
        <v>200</v>
      </c>
      <c r="H1482" s="24">
        <f t="shared" si="97"/>
        <v>400</v>
      </c>
      <c r="I1482" s="24">
        <f t="shared" si="97"/>
        <v>5200</v>
      </c>
      <c r="J1482" s="24">
        <f>400+5000/8</f>
        <v>1025</v>
      </c>
      <c r="K1482" s="24"/>
      <c r="L1482" s="24"/>
      <c r="M1482" s="24"/>
      <c r="N1482" s="24"/>
      <c r="O1482" s="24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</row>
    <row r="1483" spans="3:28">
      <c r="C1483" s="2"/>
      <c r="D1483" s="2">
        <f t="shared" si="95"/>
        <v>8</v>
      </c>
      <c r="E1483" s="2" t="str">
        <f t="shared" si="96"/>
        <v>Polylinie</v>
      </c>
      <c r="F1483" s="24">
        <v>2</v>
      </c>
      <c r="G1483" s="24">
        <f t="shared" si="97"/>
        <v>200</v>
      </c>
      <c r="H1483" s="24">
        <f t="shared" si="97"/>
        <v>400</v>
      </c>
      <c r="I1483" s="24">
        <f t="shared" si="97"/>
        <v>5200</v>
      </c>
      <c r="J1483" s="24">
        <f>400+5000/9</f>
        <v>955.55555555555554</v>
      </c>
      <c r="K1483" s="24"/>
      <c r="L1483" s="24"/>
      <c r="M1483" s="24"/>
      <c r="N1483" s="24"/>
      <c r="O1483" s="24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</row>
    <row r="1484" spans="3:28">
      <c r="C1484" s="2"/>
      <c r="D1484" s="2">
        <f t="shared" si="95"/>
        <v>8</v>
      </c>
      <c r="E1484" s="2" t="str">
        <f t="shared" si="96"/>
        <v>Polylinie</v>
      </c>
      <c r="F1484" s="24">
        <v>2</v>
      </c>
      <c r="G1484" s="24">
        <f t="shared" si="97"/>
        <v>200</v>
      </c>
      <c r="H1484" s="24">
        <f t="shared" si="97"/>
        <v>400</v>
      </c>
      <c r="I1484" s="24">
        <f t="shared" si="97"/>
        <v>5200</v>
      </c>
      <c r="J1484" s="24">
        <f>400+5000/10</f>
        <v>900</v>
      </c>
      <c r="K1484" s="24"/>
      <c r="L1484" s="24"/>
      <c r="M1484" s="24"/>
      <c r="N1484" s="24"/>
      <c r="O1484" s="24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</row>
    <row r="1485" spans="3:28">
      <c r="C1485" s="2"/>
      <c r="D1485" s="2">
        <f t="shared" si="95"/>
        <v>8</v>
      </c>
      <c r="E1485" s="2" t="str">
        <f t="shared" si="96"/>
        <v>Polylinie</v>
      </c>
      <c r="F1485" s="24">
        <v>2</v>
      </c>
      <c r="G1485" s="24">
        <f t="shared" si="97"/>
        <v>200</v>
      </c>
      <c r="H1485" s="24">
        <f t="shared" si="97"/>
        <v>400</v>
      </c>
      <c r="I1485" s="24">
        <f t="shared" si="97"/>
        <v>5200</v>
      </c>
      <c r="J1485" s="24">
        <f>400+5000/11</f>
        <v>854.5454545454545</v>
      </c>
      <c r="K1485" s="24"/>
      <c r="L1485" s="24"/>
      <c r="M1485" s="24"/>
      <c r="N1485" s="24"/>
      <c r="O1485" s="24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</row>
    <row r="1486" spans="3:28">
      <c r="C1486" s="2"/>
      <c r="D1486" s="2">
        <f t="shared" si="95"/>
        <v>8</v>
      </c>
      <c r="E1486" s="2" t="str">
        <f t="shared" si="96"/>
        <v>Polylinie</v>
      </c>
      <c r="F1486" s="24">
        <v>2</v>
      </c>
      <c r="G1486" s="24">
        <f t="shared" si="97"/>
        <v>200</v>
      </c>
      <c r="H1486" s="24">
        <f t="shared" si="97"/>
        <v>400</v>
      </c>
      <c r="I1486" s="24">
        <f t="shared" si="97"/>
        <v>5200</v>
      </c>
      <c r="J1486" s="24">
        <f>400+5000/12</f>
        <v>816.66666666666674</v>
      </c>
      <c r="K1486" s="24"/>
      <c r="L1486" s="24"/>
      <c r="M1486" s="24"/>
      <c r="N1486" s="24"/>
      <c r="O1486" s="24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</row>
    <row r="1487" spans="3:28">
      <c r="C1487" s="2"/>
      <c r="D1487" s="2">
        <f t="shared" si="95"/>
        <v>8</v>
      </c>
      <c r="E1487" s="2" t="str">
        <f t="shared" si="96"/>
        <v>Polylinie</v>
      </c>
      <c r="F1487" s="24">
        <v>2</v>
      </c>
      <c r="G1487" s="24">
        <f t="shared" si="97"/>
        <v>200</v>
      </c>
      <c r="H1487" s="24">
        <f t="shared" si="97"/>
        <v>400</v>
      </c>
      <c r="I1487" s="24">
        <f t="shared" si="97"/>
        <v>5200</v>
      </c>
      <c r="J1487" s="24">
        <f>400+5000/13</f>
        <v>784.61538461538464</v>
      </c>
      <c r="K1487" s="24"/>
      <c r="L1487" s="24"/>
      <c r="M1487" s="24"/>
      <c r="N1487" s="24"/>
      <c r="O1487" s="24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</row>
    <row r="1488" spans="3:28">
      <c r="C1488" s="2"/>
      <c r="D1488" s="2">
        <f t="shared" si="95"/>
        <v>8</v>
      </c>
      <c r="E1488" s="2" t="str">
        <f t="shared" si="96"/>
        <v>Polylinie</v>
      </c>
      <c r="F1488" s="24">
        <v>2</v>
      </c>
      <c r="G1488" s="24">
        <f t="shared" si="97"/>
        <v>200</v>
      </c>
      <c r="H1488" s="24">
        <f t="shared" si="97"/>
        <v>400</v>
      </c>
      <c r="I1488" s="24">
        <f t="shared" si="97"/>
        <v>5200</v>
      </c>
      <c r="J1488" s="24">
        <f>400+5000/14</f>
        <v>757.14285714285711</v>
      </c>
      <c r="K1488" s="24"/>
      <c r="L1488" s="24"/>
      <c r="M1488" s="24"/>
      <c r="N1488" s="24"/>
      <c r="O1488" s="24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</row>
    <row r="1489" spans="3:28">
      <c r="C1489" s="2"/>
      <c r="D1489" s="2">
        <f t="shared" si="95"/>
        <v>8</v>
      </c>
      <c r="E1489" s="2" t="str">
        <f t="shared" si="96"/>
        <v>Polylinie</v>
      </c>
      <c r="F1489" s="24">
        <v>2</v>
      </c>
      <c r="G1489" s="24">
        <f t="shared" si="97"/>
        <v>200</v>
      </c>
      <c r="H1489" s="24">
        <f t="shared" si="97"/>
        <v>400</v>
      </c>
      <c r="I1489" s="24">
        <f t="shared" si="97"/>
        <v>5200</v>
      </c>
      <c r="J1489" s="24">
        <f>400+5000/15</f>
        <v>733.33333333333326</v>
      </c>
      <c r="K1489" s="24"/>
      <c r="L1489" s="24"/>
      <c r="M1489" s="24"/>
      <c r="N1489" s="24"/>
      <c r="O1489" s="24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</row>
    <row r="1490" spans="3:28">
      <c r="C1490" s="2"/>
      <c r="D1490" s="2">
        <f t="shared" si="95"/>
        <v>8</v>
      </c>
      <c r="E1490" s="2" t="str">
        <f t="shared" si="96"/>
        <v>Polylinie</v>
      </c>
      <c r="F1490" s="24">
        <v>2</v>
      </c>
      <c r="G1490" s="24">
        <f t="shared" si="97"/>
        <v>200</v>
      </c>
      <c r="H1490" s="24">
        <f t="shared" si="97"/>
        <v>400</v>
      </c>
      <c r="I1490" s="24">
        <f t="shared" si="97"/>
        <v>5200</v>
      </c>
      <c r="J1490" s="24">
        <f>400+5000/16</f>
        <v>712.5</v>
      </c>
      <c r="K1490" s="24"/>
      <c r="L1490" s="24"/>
      <c r="M1490" s="24"/>
      <c r="N1490" s="24"/>
      <c r="O1490" s="24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</row>
    <row r="1491" spans="3:28">
      <c r="C1491" s="2"/>
      <c r="D1491" s="2">
        <f t="shared" si="95"/>
        <v>8</v>
      </c>
      <c r="E1491" s="2" t="str">
        <f t="shared" si="96"/>
        <v>Polylinie</v>
      </c>
      <c r="F1491" s="24">
        <v>2</v>
      </c>
      <c r="G1491" s="24">
        <f t="shared" si="97"/>
        <v>200</v>
      </c>
      <c r="H1491" s="24">
        <f t="shared" si="97"/>
        <v>400</v>
      </c>
      <c r="I1491" s="24">
        <f t="shared" si="97"/>
        <v>5200</v>
      </c>
      <c r="J1491" s="24">
        <f>400+5000/17</f>
        <v>694.11764705882354</v>
      </c>
      <c r="K1491" s="24"/>
      <c r="L1491" s="24"/>
      <c r="M1491" s="24"/>
      <c r="N1491" s="24"/>
      <c r="O1491" s="24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</row>
    <row r="1492" spans="3:28">
      <c r="C1492" s="2"/>
      <c r="D1492" s="2">
        <f t="shared" si="95"/>
        <v>8</v>
      </c>
      <c r="E1492" s="2" t="str">
        <f t="shared" si="96"/>
        <v>Polylinie</v>
      </c>
      <c r="F1492" s="24">
        <v>2</v>
      </c>
      <c r="G1492" s="24">
        <f t="shared" ref="G1492:I1501" si="98">G1491</f>
        <v>200</v>
      </c>
      <c r="H1492" s="24">
        <f t="shared" si="98"/>
        <v>400</v>
      </c>
      <c r="I1492" s="24">
        <f t="shared" si="98"/>
        <v>5200</v>
      </c>
      <c r="J1492" s="24">
        <f>400+5000/18</f>
        <v>677.77777777777783</v>
      </c>
      <c r="K1492" s="24"/>
      <c r="L1492" s="24"/>
      <c r="M1492" s="24"/>
      <c r="N1492" s="24"/>
      <c r="O1492" s="24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</row>
    <row r="1493" spans="3:28">
      <c r="C1493" s="2"/>
      <c r="D1493" s="2">
        <f t="shared" si="95"/>
        <v>8</v>
      </c>
      <c r="E1493" s="2" t="str">
        <f t="shared" si="96"/>
        <v>Polylinie</v>
      </c>
      <c r="F1493" s="24">
        <v>2</v>
      </c>
      <c r="G1493" s="24">
        <f t="shared" si="98"/>
        <v>200</v>
      </c>
      <c r="H1493" s="24">
        <f t="shared" si="98"/>
        <v>400</v>
      </c>
      <c r="I1493" s="24">
        <f t="shared" si="98"/>
        <v>5200</v>
      </c>
      <c r="J1493" s="24">
        <f>400+5000/19</f>
        <v>663.15789473684208</v>
      </c>
      <c r="K1493" s="24"/>
      <c r="L1493" s="24"/>
      <c r="M1493" s="24"/>
      <c r="N1493" s="24"/>
      <c r="O1493" s="24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</row>
    <row r="1494" spans="3:28">
      <c r="C1494" s="2"/>
      <c r="D1494" s="2">
        <f t="shared" si="95"/>
        <v>8</v>
      </c>
      <c r="E1494" s="2" t="str">
        <f t="shared" si="96"/>
        <v>Polylinie</v>
      </c>
      <c r="F1494" s="24">
        <v>2</v>
      </c>
      <c r="G1494" s="24">
        <f t="shared" si="98"/>
        <v>200</v>
      </c>
      <c r="H1494" s="24">
        <f t="shared" si="98"/>
        <v>400</v>
      </c>
      <c r="I1494" s="24">
        <f t="shared" si="98"/>
        <v>5200</v>
      </c>
      <c r="J1494" s="24">
        <f>400+5000/20</f>
        <v>650</v>
      </c>
      <c r="K1494" s="24"/>
      <c r="L1494" s="24"/>
      <c r="M1494" s="24"/>
      <c r="N1494" s="24"/>
      <c r="O1494" s="24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</row>
    <row r="1495" spans="3:28">
      <c r="C1495" s="2"/>
      <c r="D1495" s="2">
        <f t="shared" si="95"/>
        <v>8</v>
      </c>
      <c r="E1495" s="2" t="str">
        <f t="shared" si="96"/>
        <v>Polylinie</v>
      </c>
      <c r="F1495" s="24">
        <v>2</v>
      </c>
      <c r="G1495" s="24">
        <f t="shared" si="98"/>
        <v>200</v>
      </c>
      <c r="H1495" s="24">
        <f t="shared" si="98"/>
        <v>400</v>
      </c>
      <c r="I1495" s="24">
        <f t="shared" si="98"/>
        <v>5200</v>
      </c>
      <c r="J1495" s="24">
        <f>400+5000/21</f>
        <v>638.09523809523807</v>
      </c>
      <c r="K1495" s="24"/>
      <c r="L1495" s="24"/>
      <c r="M1495" s="24"/>
      <c r="N1495" s="24"/>
      <c r="O1495" s="24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</row>
    <row r="1496" spans="3:28">
      <c r="C1496" s="2"/>
      <c r="D1496" s="2">
        <f t="shared" si="95"/>
        <v>8</v>
      </c>
      <c r="E1496" s="2" t="str">
        <f t="shared" si="96"/>
        <v>Polylinie</v>
      </c>
      <c r="F1496" s="24">
        <v>2</v>
      </c>
      <c r="G1496" s="24">
        <f t="shared" si="98"/>
        <v>200</v>
      </c>
      <c r="H1496" s="24">
        <f t="shared" si="98"/>
        <v>400</v>
      </c>
      <c r="I1496" s="24">
        <f t="shared" si="98"/>
        <v>5200</v>
      </c>
      <c r="J1496" s="24">
        <f>400+5000/22</f>
        <v>627.27272727272725</v>
      </c>
      <c r="K1496" s="24"/>
      <c r="L1496" s="24"/>
      <c r="M1496" s="24"/>
      <c r="N1496" s="24"/>
      <c r="O1496" s="24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</row>
    <row r="1497" spans="3:28">
      <c r="C1497" s="2"/>
      <c r="D1497" s="2">
        <f t="shared" si="95"/>
        <v>8</v>
      </c>
      <c r="E1497" s="2" t="str">
        <f t="shared" si="96"/>
        <v>Polylinie</v>
      </c>
      <c r="F1497" s="24">
        <v>2</v>
      </c>
      <c r="G1497" s="24">
        <f t="shared" si="98"/>
        <v>200</v>
      </c>
      <c r="H1497" s="24">
        <f t="shared" si="98"/>
        <v>400</v>
      </c>
      <c r="I1497" s="24">
        <f t="shared" si="98"/>
        <v>5200</v>
      </c>
      <c r="J1497" s="24">
        <f>400+5000/23</f>
        <v>617.39130434782612</v>
      </c>
      <c r="K1497" s="24"/>
      <c r="L1497" s="24"/>
      <c r="M1497" s="24"/>
      <c r="N1497" s="24"/>
      <c r="O1497" s="24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</row>
    <row r="1498" spans="3:28">
      <c r="C1498" s="2"/>
      <c r="D1498" s="2">
        <f t="shared" si="95"/>
        <v>8</v>
      </c>
      <c r="E1498" s="2" t="str">
        <f t="shared" si="96"/>
        <v>Polylinie</v>
      </c>
      <c r="F1498" s="24">
        <v>2</v>
      </c>
      <c r="G1498" s="24">
        <f t="shared" si="98"/>
        <v>200</v>
      </c>
      <c r="H1498" s="24">
        <f t="shared" si="98"/>
        <v>400</v>
      </c>
      <c r="I1498" s="24">
        <f t="shared" si="98"/>
        <v>5200</v>
      </c>
      <c r="J1498" s="24">
        <f>400+5000/24</f>
        <v>608.33333333333337</v>
      </c>
      <c r="K1498" s="24"/>
      <c r="L1498" s="24"/>
      <c r="M1498" s="24"/>
      <c r="N1498" s="24"/>
      <c r="O1498" s="24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</row>
    <row r="1499" spans="3:28">
      <c r="C1499" s="2"/>
      <c r="D1499" s="2">
        <f t="shared" si="95"/>
        <v>8</v>
      </c>
      <c r="E1499" s="2" t="str">
        <f t="shared" si="96"/>
        <v>Polylinie</v>
      </c>
      <c r="F1499" s="24">
        <v>2</v>
      </c>
      <c r="G1499" s="24">
        <f t="shared" si="98"/>
        <v>200</v>
      </c>
      <c r="H1499" s="24">
        <f t="shared" si="98"/>
        <v>400</v>
      </c>
      <c r="I1499" s="24">
        <f t="shared" si="98"/>
        <v>5200</v>
      </c>
      <c r="J1499" s="24">
        <f>400+5000/25</f>
        <v>600</v>
      </c>
      <c r="K1499" s="24"/>
      <c r="L1499" s="24"/>
      <c r="M1499" s="24"/>
      <c r="N1499" s="24"/>
      <c r="O1499" s="24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</row>
    <row r="1500" spans="3:28">
      <c r="C1500" s="2"/>
      <c r="D1500" s="2">
        <f t="shared" si="95"/>
        <v>8</v>
      </c>
      <c r="E1500" s="2" t="str">
        <f t="shared" si="96"/>
        <v>Polylinie</v>
      </c>
      <c r="F1500" s="24">
        <v>2</v>
      </c>
      <c r="G1500" s="24">
        <f t="shared" si="98"/>
        <v>200</v>
      </c>
      <c r="H1500" s="24">
        <f t="shared" si="98"/>
        <v>400</v>
      </c>
      <c r="I1500" s="24">
        <f t="shared" si="98"/>
        <v>5200</v>
      </c>
      <c r="J1500" s="24">
        <f>400+5000/26</f>
        <v>592.30769230769238</v>
      </c>
      <c r="K1500" s="24"/>
      <c r="L1500" s="24"/>
      <c r="M1500" s="24"/>
      <c r="N1500" s="24"/>
      <c r="O1500" s="24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</row>
    <row r="1501" spans="3:28">
      <c r="C1501" s="2"/>
      <c r="D1501" s="2">
        <f t="shared" si="95"/>
        <v>8</v>
      </c>
      <c r="E1501" s="2" t="str">
        <f t="shared" si="96"/>
        <v>Polylinie</v>
      </c>
      <c r="F1501" s="24">
        <v>2</v>
      </c>
      <c r="G1501" s="24">
        <f t="shared" si="98"/>
        <v>200</v>
      </c>
      <c r="H1501" s="24">
        <f t="shared" si="98"/>
        <v>400</v>
      </c>
      <c r="I1501" s="24">
        <f t="shared" si="98"/>
        <v>5200</v>
      </c>
      <c r="J1501" s="24">
        <f>400+5000/27</f>
        <v>585.18518518518522</v>
      </c>
      <c r="K1501" s="24"/>
      <c r="L1501" s="24"/>
      <c r="M1501" s="24"/>
      <c r="N1501" s="24"/>
      <c r="O1501" s="24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</row>
    <row r="1502" spans="3:28">
      <c r="C1502" s="2"/>
      <c r="D1502" s="2">
        <v>4</v>
      </c>
      <c r="E1502" s="2" t="s">
        <v>15</v>
      </c>
      <c r="F1502" s="24">
        <v>4</v>
      </c>
      <c r="G1502" s="24"/>
      <c r="H1502" s="24"/>
      <c r="I1502" s="24"/>
      <c r="J1502" s="24"/>
      <c r="K1502" s="24"/>
      <c r="L1502" s="24"/>
      <c r="M1502" s="24"/>
      <c r="N1502" s="24"/>
      <c r="O1502" s="24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</row>
    <row r="1503" spans="3:28">
      <c r="C1503" s="2"/>
      <c r="D1503" s="2">
        <f>F1503*2+4</f>
        <v>10</v>
      </c>
      <c r="E1503" s="2" t="s">
        <v>4</v>
      </c>
      <c r="F1503" s="24">
        <v>3</v>
      </c>
      <c r="G1503" s="24">
        <v>200</v>
      </c>
      <c r="H1503" s="24">
        <v>400</v>
      </c>
      <c r="I1503" s="24">
        <v>5200</v>
      </c>
      <c r="J1503" s="24">
        <f>400+5000/28</f>
        <v>578.57142857142856</v>
      </c>
      <c r="K1503" s="24">
        <v>5200</v>
      </c>
      <c r="L1503" s="24">
        <v>400</v>
      </c>
      <c r="M1503" s="24"/>
      <c r="N1503" s="24"/>
      <c r="O1503" s="24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</row>
    <row r="1504" spans="3:28">
      <c r="C1504" s="2"/>
      <c r="D1504" s="2">
        <v>4</v>
      </c>
      <c r="E1504" s="2" t="s">
        <v>15</v>
      </c>
      <c r="F1504" s="24">
        <v>1</v>
      </c>
      <c r="G1504" s="24"/>
      <c r="H1504" s="24"/>
      <c r="I1504" s="24"/>
      <c r="J1504" s="24"/>
      <c r="K1504" s="24"/>
      <c r="L1504" s="24"/>
      <c r="M1504" s="24"/>
      <c r="N1504" s="24"/>
      <c r="O1504" s="24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</row>
    <row r="1505" spans="3:28">
      <c r="C1505" s="2"/>
      <c r="D1505" s="2">
        <f>F1505*2+4</f>
        <v>26</v>
      </c>
      <c r="E1505" s="2" t="s">
        <v>4</v>
      </c>
      <c r="F1505" s="24">
        <v>11</v>
      </c>
      <c r="G1505" s="24">
        <v>200</v>
      </c>
      <c r="H1505" s="24">
        <v>1400</v>
      </c>
      <c r="I1505" s="24">
        <v>200</v>
      </c>
      <c r="J1505" s="24">
        <v>400</v>
      </c>
      <c r="K1505" s="24">
        <v>1200</v>
      </c>
      <c r="L1505" s="24">
        <v>1400</v>
      </c>
      <c r="M1505" s="24">
        <f>M1506+K1505</f>
        <v>1533.3333333333333</v>
      </c>
      <c r="N1505" s="24">
        <f>L1505-N1506</f>
        <v>1066.6666666666667</v>
      </c>
      <c r="O1505" s="24">
        <f>K1505+1000</f>
        <v>2200</v>
      </c>
      <c r="P1505" s="2">
        <f>L1505</f>
        <v>1400</v>
      </c>
      <c r="Q1505" s="2">
        <f>Q1506+O1505</f>
        <v>2600</v>
      </c>
      <c r="R1505" s="2">
        <f>P1505-R1506</f>
        <v>1200</v>
      </c>
      <c r="S1505" s="2">
        <f>O1505+1000</f>
        <v>3200</v>
      </c>
      <c r="T1505" s="2">
        <f>P1505</f>
        <v>1400</v>
      </c>
      <c r="U1505" s="2">
        <f>U1506+S1505</f>
        <v>3628.5714285714284</v>
      </c>
      <c r="V1505" s="2">
        <f>T1505-V1506</f>
        <v>1257.1428571428571</v>
      </c>
      <c r="W1505" s="2">
        <f>S1505+1000</f>
        <v>4200</v>
      </c>
      <c r="X1505" s="2">
        <f>T1505</f>
        <v>1400</v>
      </c>
      <c r="Y1505" s="2">
        <f>Y1506+W1505</f>
        <v>4644.4444444444443</v>
      </c>
      <c r="Z1505" s="2">
        <f>X1505-Z1506</f>
        <v>1288.8888888888889</v>
      </c>
      <c r="AA1505" s="2">
        <f>W1505+1000</f>
        <v>5200</v>
      </c>
      <c r="AB1505" s="2">
        <f>X1505</f>
        <v>1400</v>
      </c>
    </row>
    <row r="1506" spans="3:28">
      <c r="C1506" s="2"/>
      <c r="D1506" s="2"/>
      <c r="E1506" s="2" t="s">
        <v>517</v>
      </c>
      <c r="F1506" s="24" t="s">
        <v>535</v>
      </c>
      <c r="G1506" s="24">
        <v>25</v>
      </c>
      <c r="H1506" s="24">
        <v>1320</v>
      </c>
      <c r="I1506" s="24">
        <v>320</v>
      </c>
      <c r="L1506" s="24"/>
      <c r="M1506" s="24">
        <f>1000/(2+1/O1506)</f>
        <v>333.33333333333331</v>
      </c>
      <c r="N1506" s="24">
        <f>M1506/O1506</f>
        <v>333.33333333333331</v>
      </c>
      <c r="O1506" s="24">
        <v>1</v>
      </c>
      <c r="P1506" s="2"/>
      <c r="Q1506" s="2">
        <f>1000/(2+1/S1506)</f>
        <v>400</v>
      </c>
      <c r="R1506" s="2">
        <f>Q1506/S1506</f>
        <v>200</v>
      </c>
      <c r="S1506" s="2">
        <v>2</v>
      </c>
      <c r="T1506" s="2"/>
      <c r="U1506" s="2">
        <f>1000/(2+1/W1506)</f>
        <v>428.57142857142856</v>
      </c>
      <c r="V1506" s="2">
        <f>U1506/W1506</f>
        <v>142.85714285714286</v>
      </c>
      <c r="W1506" s="2">
        <v>3</v>
      </c>
      <c r="X1506" s="2"/>
      <c r="Y1506" s="2">
        <f>1000/(2+1/AA1506)</f>
        <v>444.44444444444446</v>
      </c>
      <c r="Z1506" s="2">
        <f>Y1506/AA1506</f>
        <v>111.11111111111111</v>
      </c>
      <c r="AA1506" s="2">
        <v>4</v>
      </c>
      <c r="AB1506" s="2"/>
    </row>
    <row r="1507" spans="3:28">
      <c r="C1507" s="2"/>
      <c r="D1507" s="2">
        <f t="shared" ref="D1507:D1514" si="99">ROUNDUP(6+F1507/2,0)</f>
        <v>7</v>
      </c>
      <c r="E1507" s="2" t="s">
        <v>6</v>
      </c>
      <c r="F1507" s="24">
        <f t="shared" ref="F1507:F1514" si="100">LEN(G1507)</f>
        <v>1</v>
      </c>
      <c r="G1507" s="24" t="s">
        <v>43</v>
      </c>
      <c r="H1507" s="24">
        <v>0</v>
      </c>
      <c r="I1507" s="24">
        <v>150</v>
      </c>
      <c r="J1507" s="24"/>
      <c r="K1507" s="24"/>
      <c r="L1507" s="24"/>
      <c r="M1507" s="24"/>
      <c r="N1507" s="24"/>
      <c r="O1507" s="24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</row>
    <row r="1508" spans="3:28">
      <c r="C1508" s="2"/>
      <c r="D1508" s="2">
        <f t="shared" si="99"/>
        <v>7</v>
      </c>
      <c r="E1508" s="2" t="s">
        <v>6</v>
      </c>
      <c r="F1508" s="24">
        <f t="shared" si="100"/>
        <v>1</v>
      </c>
      <c r="G1508" s="24" t="s">
        <v>22</v>
      </c>
      <c r="H1508" s="24">
        <v>1200</v>
      </c>
      <c r="I1508" s="24">
        <v>5250</v>
      </c>
      <c r="J1508" s="24"/>
      <c r="K1508" s="24"/>
      <c r="L1508" s="24"/>
      <c r="M1508" s="24"/>
      <c r="N1508" s="24"/>
      <c r="O1508" s="24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</row>
    <row r="1509" spans="3:28">
      <c r="C1509" s="2"/>
      <c r="D1509" s="2"/>
      <c r="E1509" s="2" t="s">
        <v>515</v>
      </c>
      <c r="F1509" s="24" t="s">
        <v>560</v>
      </c>
      <c r="G1509" s="24">
        <v>220</v>
      </c>
      <c r="H1509" s="24">
        <v>1420</v>
      </c>
      <c r="I1509" s="24">
        <v>1180</v>
      </c>
      <c r="J1509" s="24">
        <f>I1509+1000</f>
        <v>2180</v>
      </c>
      <c r="K1509" s="24">
        <f>J1509+1000</f>
        <v>3180</v>
      </c>
      <c r="L1509" s="24">
        <f>K1509+1000</f>
        <v>4180</v>
      </c>
      <c r="M1509" s="24">
        <v>5100</v>
      </c>
      <c r="N1509" s="24"/>
      <c r="O1509" s="24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</row>
    <row r="1510" spans="3:28">
      <c r="C1510" s="2"/>
      <c r="D1510" s="2">
        <f t="shared" si="99"/>
        <v>7</v>
      </c>
      <c r="E1510" s="2" t="s">
        <v>6</v>
      </c>
      <c r="F1510" s="24">
        <f t="shared" si="100"/>
        <v>2</v>
      </c>
      <c r="G1510" s="24" t="s">
        <v>173</v>
      </c>
      <c r="H1510" s="24">
        <v>1170</v>
      </c>
      <c r="I1510" s="24">
        <v>390</v>
      </c>
      <c r="J1510" s="24"/>
      <c r="K1510" s="24"/>
      <c r="L1510" s="24"/>
      <c r="M1510" s="24"/>
      <c r="N1510" s="24"/>
      <c r="O1510" s="24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</row>
    <row r="1511" spans="3:28">
      <c r="C1511" s="2"/>
      <c r="D1511" s="2">
        <f t="shared" si="99"/>
        <v>7</v>
      </c>
      <c r="E1511" s="2" t="s">
        <v>6</v>
      </c>
      <c r="F1511" s="24">
        <f t="shared" si="100"/>
        <v>2</v>
      </c>
      <c r="G1511" s="24" t="s">
        <v>174</v>
      </c>
      <c r="H1511" s="24">
        <v>1170</v>
      </c>
      <c r="I1511" s="24">
        <v>1470</v>
      </c>
      <c r="J1511" s="24"/>
      <c r="K1511" s="24"/>
      <c r="L1511" s="24"/>
      <c r="M1511" s="24"/>
      <c r="N1511" s="24"/>
      <c r="O1511" s="24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</row>
    <row r="1512" spans="3:28">
      <c r="C1512" s="2"/>
      <c r="D1512" s="2">
        <f t="shared" si="99"/>
        <v>7</v>
      </c>
      <c r="E1512" s="2" t="s">
        <v>6</v>
      </c>
      <c r="F1512" s="24">
        <f t="shared" si="100"/>
        <v>2</v>
      </c>
      <c r="G1512" s="24" t="s">
        <v>175</v>
      </c>
      <c r="H1512" s="24">
        <v>1230</v>
      </c>
      <c r="I1512" s="24">
        <v>2560</v>
      </c>
      <c r="J1512" s="24"/>
      <c r="K1512" s="24"/>
      <c r="L1512" s="24"/>
      <c r="M1512" s="24"/>
      <c r="N1512" s="24"/>
      <c r="O1512" s="24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</row>
    <row r="1513" spans="3:28">
      <c r="C1513" s="2"/>
      <c r="D1513" s="2">
        <f t="shared" si="99"/>
        <v>7</v>
      </c>
      <c r="E1513" s="2" t="s">
        <v>6</v>
      </c>
      <c r="F1513" s="24">
        <f t="shared" si="100"/>
        <v>2</v>
      </c>
      <c r="G1513" s="24" t="s">
        <v>176</v>
      </c>
      <c r="H1513" s="24">
        <v>1280</v>
      </c>
      <c r="I1513" s="24">
        <v>3560</v>
      </c>
      <c r="J1513" s="24"/>
      <c r="K1513" s="24"/>
      <c r="L1513" s="24"/>
      <c r="M1513" s="24"/>
      <c r="N1513" s="24"/>
      <c r="O1513" s="24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</row>
    <row r="1514" spans="3:28">
      <c r="C1514" s="2"/>
      <c r="D1514" s="2">
        <f t="shared" si="99"/>
        <v>7</v>
      </c>
      <c r="E1514" s="2" t="s">
        <v>6</v>
      </c>
      <c r="F1514" s="24">
        <f t="shared" si="100"/>
        <v>2</v>
      </c>
      <c r="G1514" s="24" t="s">
        <v>177</v>
      </c>
      <c r="H1514" s="24">
        <v>1280</v>
      </c>
      <c r="I1514" s="24">
        <v>4580</v>
      </c>
      <c r="J1514" s="24"/>
      <c r="K1514" s="24"/>
      <c r="L1514" s="24"/>
      <c r="M1514" s="24"/>
      <c r="N1514" s="24"/>
      <c r="O1514" s="24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</row>
    <row r="1515" spans="3:28">
      <c r="C1515" s="2"/>
      <c r="D1515" s="2">
        <v>4</v>
      </c>
      <c r="E1515" s="2" t="s">
        <v>15</v>
      </c>
      <c r="F1515" s="24">
        <v>1</v>
      </c>
      <c r="G1515" s="24"/>
      <c r="H1515" s="24"/>
      <c r="I1515" s="24"/>
      <c r="J1515" s="24"/>
      <c r="K1515" s="24"/>
      <c r="L1515" s="24"/>
      <c r="M1515" s="24"/>
      <c r="N1515" s="24"/>
      <c r="O1515" s="24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</row>
    <row r="1516" spans="3:28">
      <c r="C1516" s="2"/>
      <c r="D1516" s="2">
        <f>F1516*2+4</f>
        <v>10</v>
      </c>
      <c r="E1516" s="2" t="s">
        <v>1</v>
      </c>
      <c r="F1516" s="24">
        <v>3</v>
      </c>
      <c r="G1516" s="24">
        <v>100</v>
      </c>
      <c r="H1516" s="24">
        <v>400</v>
      </c>
      <c r="I1516" s="24">
        <v>5200</v>
      </c>
      <c r="J1516" s="24">
        <v>400</v>
      </c>
      <c r="K1516" s="24">
        <v>5200</v>
      </c>
      <c r="L1516" s="24">
        <v>1500</v>
      </c>
      <c r="M1516" s="24"/>
      <c r="N1516" s="24"/>
      <c r="O1516" s="24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</row>
    <row r="1517" spans="3:28">
      <c r="C1517" s="2"/>
      <c r="D1517" s="2">
        <v>4</v>
      </c>
      <c r="E1517" s="2" t="s">
        <v>15</v>
      </c>
      <c r="F1517" s="24">
        <v>7</v>
      </c>
      <c r="G1517" s="24"/>
      <c r="H1517" s="24"/>
      <c r="I1517" s="24"/>
      <c r="J1517" s="24"/>
      <c r="K1517" s="24"/>
      <c r="L1517" s="24"/>
      <c r="M1517" s="24"/>
      <c r="N1517" s="24"/>
      <c r="O1517" s="24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</row>
    <row r="1518" spans="3:28">
      <c r="C1518" s="2"/>
      <c r="D1518" s="2">
        <v>4</v>
      </c>
      <c r="E1518" s="2" t="s">
        <v>15</v>
      </c>
      <c r="F1518" s="24">
        <v>8</v>
      </c>
      <c r="G1518" s="24"/>
      <c r="H1518" s="24"/>
      <c r="I1518" s="24"/>
      <c r="J1518" s="24"/>
      <c r="K1518" s="24"/>
      <c r="L1518" s="24"/>
      <c r="M1518" s="24"/>
      <c r="N1518" s="24"/>
      <c r="O1518" s="24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</row>
    <row r="1519" spans="3:28">
      <c r="C1519" s="2"/>
      <c r="D1519" s="2">
        <f>F1519*2+4</f>
        <v>10</v>
      </c>
      <c r="E1519" s="2" t="s">
        <v>4</v>
      </c>
      <c r="F1519" s="24">
        <v>3</v>
      </c>
      <c r="G1519" s="24">
        <f t="shared" ref="G1519:L1519" si="101">I1505</f>
        <v>200</v>
      </c>
      <c r="H1519" s="24">
        <f t="shared" si="101"/>
        <v>400</v>
      </c>
      <c r="I1519" s="24">
        <f t="shared" si="101"/>
        <v>1200</v>
      </c>
      <c r="J1519" s="24">
        <f t="shared" si="101"/>
        <v>1400</v>
      </c>
      <c r="K1519" s="24">
        <f t="shared" si="101"/>
        <v>1533.3333333333333</v>
      </c>
      <c r="L1519" s="24">
        <f t="shared" si="101"/>
        <v>1066.6666666666667</v>
      </c>
      <c r="M1519" s="24"/>
      <c r="N1519" s="24"/>
      <c r="O1519" s="24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</row>
    <row r="1520" spans="3:28">
      <c r="C1520" s="2"/>
      <c r="D1520" s="2">
        <f>F1520*2+4</f>
        <v>10</v>
      </c>
      <c r="E1520" s="2" t="s">
        <v>4</v>
      </c>
      <c r="F1520" s="24">
        <v>3</v>
      </c>
      <c r="G1520" s="24">
        <f>G1519</f>
        <v>200</v>
      </c>
      <c r="H1520" s="24">
        <f>H1519</f>
        <v>400</v>
      </c>
      <c r="I1520" s="24">
        <v>1700</v>
      </c>
      <c r="J1520" s="24">
        <v>900</v>
      </c>
      <c r="K1520" s="24">
        <f>K1519</f>
        <v>1533.3333333333333</v>
      </c>
      <c r="L1520" s="24">
        <f>L1519</f>
        <v>1066.6666666666667</v>
      </c>
      <c r="M1520" s="24"/>
      <c r="N1520" s="24"/>
      <c r="O1520" s="24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</row>
    <row r="1521" spans="3:28">
      <c r="C1521" s="2"/>
      <c r="D1521" s="2">
        <f>F1521*2+4</f>
        <v>12</v>
      </c>
      <c r="E1521" s="2" t="s">
        <v>4</v>
      </c>
      <c r="F1521" s="24">
        <v>4</v>
      </c>
      <c r="G1521" s="24">
        <f>I1520</f>
        <v>1700</v>
      </c>
      <c r="H1521" s="24">
        <f>J1520</f>
        <v>900</v>
      </c>
      <c r="I1521" s="24">
        <f>K1520</f>
        <v>1533.3333333333333</v>
      </c>
      <c r="J1521" s="24">
        <f>L1520</f>
        <v>1066.6666666666667</v>
      </c>
      <c r="K1521" s="24">
        <v>2200</v>
      </c>
      <c r="L1521" s="24">
        <v>1400</v>
      </c>
      <c r="M1521" s="24">
        <f>Q1505</f>
        <v>2600</v>
      </c>
      <c r="N1521" s="24">
        <f>R1505</f>
        <v>1200</v>
      </c>
      <c r="O1521" s="24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</row>
    <row r="1522" spans="3:28">
      <c r="C1522" s="2"/>
      <c r="D1522" s="2">
        <v>4</v>
      </c>
      <c r="E1522" s="2" t="s">
        <v>15</v>
      </c>
      <c r="F1522" s="24">
        <v>5</v>
      </c>
      <c r="G1522" s="24"/>
      <c r="H1522" s="24"/>
      <c r="I1522" s="24"/>
      <c r="J1522" s="24"/>
      <c r="K1522" s="24"/>
      <c r="L1522" s="24"/>
      <c r="M1522" s="24"/>
      <c r="N1522" s="24"/>
      <c r="O1522" s="24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</row>
    <row r="1523" spans="3:28">
      <c r="C1523" s="2"/>
      <c r="D1523" s="2">
        <f>ROUNDUP(6+F1523/2,0)</f>
        <v>8</v>
      </c>
      <c r="E1523" s="2" t="s">
        <v>6</v>
      </c>
      <c r="F1523" s="24">
        <f>LEN(G1523)</f>
        <v>4</v>
      </c>
      <c r="G1523" s="24" t="s">
        <v>178</v>
      </c>
      <c r="H1523" s="24">
        <v>890</v>
      </c>
      <c r="I1523" s="24">
        <v>920</v>
      </c>
      <c r="J1523" s="24"/>
      <c r="K1523" s="24"/>
      <c r="L1523" s="24"/>
      <c r="M1523" s="24"/>
      <c r="N1523" s="24"/>
      <c r="O1523" s="24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</row>
    <row r="1524" spans="3:28">
      <c r="C1524" s="2"/>
      <c r="D1524" s="2">
        <f>ROUNDUP(6+F1524/2,0)</f>
        <v>8</v>
      </c>
      <c r="E1524" s="2" t="s">
        <v>6</v>
      </c>
      <c r="F1524" s="24">
        <f>LEN(G1524)</f>
        <v>4</v>
      </c>
      <c r="G1524" s="24" t="s">
        <v>179</v>
      </c>
      <c r="H1524" s="24">
        <v>720</v>
      </c>
      <c r="I1524" s="24">
        <v>1260</v>
      </c>
      <c r="J1524" s="24"/>
      <c r="K1524" s="24"/>
      <c r="L1524" s="24"/>
      <c r="M1524" s="24"/>
      <c r="N1524" s="24"/>
      <c r="O1524" s="24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</row>
    <row r="1525" spans="3:28">
      <c r="C1525" s="2"/>
      <c r="D1525" s="2">
        <f>ROUNDUP(6+F1525/2,0)</f>
        <v>8</v>
      </c>
      <c r="E1525" s="2" t="s">
        <v>6</v>
      </c>
      <c r="F1525" s="24">
        <f>LEN(G1525)</f>
        <v>4</v>
      </c>
      <c r="G1525" s="24" t="s">
        <v>180</v>
      </c>
      <c r="H1525" s="24">
        <v>1040</v>
      </c>
      <c r="I1525" s="24">
        <v>1900</v>
      </c>
      <c r="J1525" s="24"/>
      <c r="K1525" s="24"/>
      <c r="L1525" s="24"/>
      <c r="M1525" s="24"/>
      <c r="N1525" s="24"/>
      <c r="O1525" s="24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</row>
    <row r="1526" spans="3:28">
      <c r="C1526" s="2"/>
      <c r="D1526" s="2">
        <f>ROUNDUP(6+F1526/2,0)</f>
        <v>8</v>
      </c>
      <c r="E1526" s="2" t="s">
        <v>6</v>
      </c>
      <c r="F1526" s="24">
        <f>LEN(G1526)</f>
        <v>4</v>
      </c>
      <c r="G1526" s="24" t="s">
        <v>181</v>
      </c>
      <c r="H1526" s="24">
        <v>1100</v>
      </c>
      <c r="I1526" s="24">
        <v>2930</v>
      </c>
      <c r="J1526" s="24"/>
      <c r="K1526" s="24"/>
      <c r="L1526" s="24"/>
      <c r="M1526" s="24"/>
      <c r="N1526" s="24"/>
      <c r="O1526" s="24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</row>
    <row r="1527" spans="3:28">
      <c r="C1527" s="2"/>
      <c r="D1527" s="2">
        <f>ROUNDUP(6+F1527/2,0)</f>
        <v>8</v>
      </c>
      <c r="E1527" s="2" t="s">
        <v>6</v>
      </c>
      <c r="F1527" s="24">
        <f>LEN(G1527)</f>
        <v>4</v>
      </c>
      <c r="G1527" s="24" t="s">
        <v>182</v>
      </c>
      <c r="H1527" s="24">
        <v>1120</v>
      </c>
      <c r="I1527" s="24">
        <v>4020</v>
      </c>
      <c r="J1527" s="24"/>
      <c r="K1527" s="24"/>
      <c r="L1527" s="24"/>
      <c r="M1527" s="24"/>
      <c r="N1527" s="24"/>
      <c r="O1527" s="24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</row>
    <row r="1528" spans="3:28">
      <c r="C1528" s="2"/>
      <c r="D1528" s="2">
        <v>4</v>
      </c>
      <c r="E1528" s="2" t="s">
        <v>15</v>
      </c>
      <c r="F1528" s="24">
        <v>6</v>
      </c>
      <c r="G1528" s="24"/>
      <c r="H1528" s="24"/>
      <c r="I1528" s="24"/>
      <c r="J1528" s="24"/>
      <c r="K1528" s="24"/>
      <c r="L1528" s="24"/>
      <c r="M1528" s="24"/>
      <c r="N1528" s="24"/>
      <c r="O1528" s="24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</row>
    <row r="1529" spans="3:28">
      <c r="C1529" s="2"/>
      <c r="D1529" s="2">
        <f t="shared" ref="D1529:D1539" si="102">ROUNDUP(6+F1529/2,0)</f>
        <v>8</v>
      </c>
      <c r="E1529" s="2" t="s">
        <v>6</v>
      </c>
      <c r="F1529" s="24">
        <f t="shared" ref="F1529:F1539" si="103">LEN(G1529)</f>
        <v>4</v>
      </c>
      <c r="G1529" s="24" t="s">
        <v>184</v>
      </c>
      <c r="H1529" s="24">
        <v>650</v>
      </c>
      <c r="I1529" s="24">
        <v>1340</v>
      </c>
      <c r="J1529" s="24"/>
      <c r="K1529" s="24"/>
      <c r="L1529" s="24"/>
      <c r="M1529" s="24"/>
      <c r="N1529" s="24"/>
      <c r="O1529" s="24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</row>
    <row r="1530" spans="3:28">
      <c r="C1530" s="2"/>
      <c r="D1530" s="2">
        <f t="shared" si="102"/>
        <v>8</v>
      </c>
      <c r="E1530" s="2" t="s">
        <v>6</v>
      </c>
      <c r="F1530" s="24">
        <f t="shared" si="103"/>
        <v>4</v>
      </c>
      <c r="G1530" s="24" t="s">
        <v>185</v>
      </c>
      <c r="H1530" s="24">
        <v>950</v>
      </c>
      <c r="I1530" s="24">
        <v>2250</v>
      </c>
      <c r="J1530" s="24"/>
      <c r="K1530" s="24"/>
      <c r="L1530" s="24"/>
      <c r="M1530" s="24"/>
      <c r="N1530" s="24"/>
      <c r="O1530" s="24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</row>
    <row r="1531" spans="3:28">
      <c r="C1531" s="2"/>
      <c r="D1531" s="2">
        <f t="shared" si="102"/>
        <v>8</v>
      </c>
      <c r="E1531" s="2" t="s">
        <v>6</v>
      </c>
      <c r="F1531" s="24">
        <f t="shared" si="103"/>
        <v>4</v>
      </c>
      <c r="G1531" s="24" t="s">
        <v>186</v>
      </c>
      <c r="H1531" s="24">
        <v>850</v>
      </c>
      <c r="I1531" s="24">
        <v>2600</v>
      </c>
      <c r="J1531" s="24"/>
      <c r="K1531" s="24"/>
      <c r="L1531" s="24"/>
      <c r="M1531" s="24"/>
      <c r="N1531" s="24"/>
      <c r="O1531" s="24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</row>
    <row r="1532" spans="3:28">
      <c r="C1532" s="2"/>
      <c r="D1532" s="2">
        <f t="shared" si="102"/>
        <v>8</v>
      </c>
      <c r="E1532" s="2" t="s">
        <v>6</v>
      </c>
      <c r="F1532" s="24">
        <f t="shared" si="103"/>
        <v>4</v>
      </c>
      <c r="G1532" s="24" t="s">
        <v>187</v>
      </c>
      <c r="H1532" s="24">
        <v>800</v>
      </c>
      <c r="I1532" s="24">
        <v>2780</v>
      </c>
      <c r="J1532" s="24"/>
      <c r="K1532" s="24"/>
      <c r="L1532" s="24"/>
      <c r="M1532" s="24"/>
      <c r="N1532" s="24"/>
      <c r="O1532" s="24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</row>
    <row r="1533" spans="3:28">
      <c r="C1533" s="2"/>
      <c r="D1533" s="2">
        <f t="shared" si="102"/>
        <v>8</v>
      </c>
      <c r="E1533" s="2" t="s">
        <v>6</v>
      </c>
      <c r="F1533" s="24">
        <f t="shared" si="103"/>
        <v>4</v>
      </c>
      <c r="G1533" s="24" t="s">
        <v>190</v>
      </c>
      <c r="H1533" s="24">
        <v>1050</v>
      </c>
      <c r="I1533" s="24">
        <v>3300</v>
      </c>
      <c r="J1533" s="24"/>
      <c r="K1533" s="24"/>
      <c r="L1533" s="24"/>
      <c r="M1533" s="24"/>
      <c r="N1533" s="24"/>
      <c r="O1533" s="24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</row>
    <row r="1534" spans="3:28">
      <c r="C1534" s="2"/>
      <c r="D1534" s="2">
        <f t="shared" si="102"/>
        <v>8</v>
      </c>
      <c r="E1534" s="2" t="s">
        <v>6</v>
      </c>
      <c r="F1534" s="24">
        <f t="shared" si="103"/>
        <v>4</v>
      </c>
      <c r="G1534" s="24" t="s">
        <v>191</v>
      </c>
      <c r="H1534" s="24">
        <v>960</v>
      </c>
      <c r="I1534" s="24">
        <v>3590</v>
      </c>
      <c r="J1534" s="24"/>
      <c r="K1534" s="24"/>
      <c r="L1534" s="24"/>
      <c r="M1534" s="24"/>
      <c r="N1534" s="24"/>
      <c r="O1534" s="24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</row>
    <row r="1535" spans="3:28">
      <c r="C1535" s="2"/>
      <c r="D1535" s="2">
        <f t="shared" si="102"/>
        <v>8</v>
      </c>
      <c r="E1535" s="2" t="s">
        <v>6</v>
      </c>
      <c r="F1535" s="24">
        <f t="shared" si="103"/>
        <v>4</v>
      </c>
      <c r="G1535" s="24" t="s">
        <v>192</v>
      </c>
      <c r="H1535" s="24">
        <v>900</v>
      </c>
      <c r="I1535" s="24">
        <v>3920</v>
      </c>
      <c r="J1535" s="24"/>
      <c r="K1535" s="24"/>
      <c r="L1535" s="24"/>
      <c r="M1535" s="24"/>
      <c r="N1535" s="24"/>
      <c r="O1535" s="24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</row>
    <row r="1536" spans="3:28">
      <c r="C1536" s="2"/>
      <c r="D1536" s="2">
        <f t="shared" si="102"/>
        <v>8</v>
      </c>
      <c r="E1536" s="2" t="s">
        <v>6</v>
      </c>
      <c r="F1536" s="24">
        <f t="shared" si="103"/>
        <v>4</v>
      </c>
      <c r="G1536" s="24" t="s">
        <v>188</v>
      </c>
      <c r="H1536" s="24">
        <v>1090</v>
      </c>
      <c r="I1536" s="24">
        <v>4330</v>
      </c>
      <c r="J1536" s="24"/>
      <c r="K1536" s="24"/>
      <c r="L1536" s="24"/>
      <c r="M1536" s="24"/>
      <c r="N1536" s="24"/>
      <c r="O1536" s="24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</row>
    <row r="1537" spans="1:28">
      <c r="C1537" s="2"/>
      <c r="D1537" s="2">
        <f t="shared" si="102"/>
        <v>8</v>
      </c>
      <c r="E1537" s="2" t="s">
        <v>6</v>
      </c>
      <c r="F1537" s="24">
        <f t="shared" si="103"/>
        <v>4</v>
      </c>
      <c r="G1537" s="24" t="s">
        <v>189</v>
      </c>
      <c r="H1537" s="24">
        <v>1010</v>
      </c>
      <c r="I1537" s="24">
        <v>4670</v>
      </c>
      <c r="J1537" s="24"/>
      <c r="K1537" s="24"/>
      <c r="L1537" s="24"/>
      <c r="M1537" s="24"/>
      <c r="N1537" s="24"/>
      <c r="O1537" s="24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</row>
    <row r="1538" spans="1:28">
      <c r="C1538" s="2"/>
      <c r="D1538" s="2">
        <f t="shared" si="102"/>
        <v>8</v>
      </c>
      <c r="E1538" s="2" t="s">
        <v>6</v>
      </c>
      <c r="F1538" s="24">
        <f t="shared" si="103"/>
        <v>4</v>
      </c>
      <c r="G1538" s="24" t="s">
        <v>193</v>
      </c>
      <c r="H1538" s="24">
        <v>950</v>
      </c>
      <c r="I1538" s="24">
        <v>4890</v>
      </c>
      <c r="J1538" s="24"/>
      <c r="K1538" s="24"/>
      <c r="L1538" s="24"/>
      <c r="M1538" s="24"/>
      <c r="N1538" s="24"/>
      <c r="O1538" s="24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</row>
    <row r="1539" spans="1:28">
      <c r="C1539" s="2"/>
      <c r="D1539" s="2">
        <f t="shared" si="102"/>
        <v>8</v>
      </c>
      <c r="E1539" s="2" t="s">
        <v>6</v>
      </c>
      <c r="F1539" s="24">
        <f t="shared" si="103"/>
        <v>4</v>
      </c>
      <c r="G1539" s="24" t="s">
        <v>183</v>
      </c>
      <c r="H1539" s="24">
        <v>1200</v>
      </c>
      <c r="I1539" s="24">
        <v>5040</v>
      </c>
      <c r="J1539" s="24"/>
      <c r="K1539" s="24"/>
      <c r="L1539" s="24"/>
      <c r="M1539" s="24"/>
      <c r="N1539" s="24"/>
      <c r="O1539" s="24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</row>
    <row r="1540" spans="1:28">
      <c r="D1540" s="2">
        <v>4</v>
      </c>
      <c r="E1540" s="2" t="s">
        <v>15</v>
      </c>
      <c r="F1540" s="24">
        <v>1</v>
      </c>
    </row>
    <row r="1541" spans="1:28">
      <c r="D1541" s="2">
        <f>F1541*2+4</f>
        <v>8</v>
      </c>
      <c r="E1541" s="2" t="s">
        <v>1</v>
      </c>
      <c r="F1541" s="24">
        <v>2</v>
      </c>
      <c r="G1541" s="24">
        <v>2200</v>
      </c>
      <c r="H1541" s="24">
        <v>1400</v>
      </c>
      <c r="I1541" s="24">
        <v>2200</v>
      </c>
      <c r="J1541" s="24">
        <v>1066.6666666666665</v>
      </c>
    </row>
    <row r="1542" spans="1:28">
      <c r="D1542" s="2"/>
      <c r="E1542" s="2"/>
      <c r="F1542" s="24"/>
      <c r="G1542" s="24"/>
      <c r="H1542" s="24"/>
      <c r="I1542" s="24"/>
      <c r="J1542" s="24"/>
    </row>
    <row r="1543" spans="1:28">
      <c r="D1543" s="2"/>
      <c r="E1543" s="2"/>
      <c r="F1543" s="24"/>
      <c r="G1543" s="24"/>
      <c r="H1543" s="24"/>
      <c r="I1543" s="24"/>
      <c r="J1543" s="24"/>
    </row>
    <row r="1544" spans="1:28">
      <c r="A1544" s="48" t="s">
        <v>383</v>
      </c>
      <c r="B1544" s="49" t="s">
        <v>797</v>
      </c>
      <c r="C1544" s="2"/>
      <c r="D1544" s="2"/>
      <c r="E1544" s="2">
        <v>52695</v>
      </c>
      <c r="F1544" s="24">
        <v>39622</v>
      </c>
      <c r="G1544" s="24">
        <v>0</v>
      </c>
      <c r="H1544" s="24">
        <v>0</v>
      </c>
      <c r="I1544" s="24">
        <v>0</v>
      </c>
      <c r="J1544" s="24">
        <v>5360</v>
      </c>
      <c r="K1544" s="24">
        <v>1620</v>
      </c>
      <c r="L1544" s="24">
        <v>800</v>
      </c>
      <c r="M1544" s="24">
        <v>0</v>
      </c>
      <c r="N1544" s="24">
        <v>0</v>
      </c>
      <c r="O1544" s="24" t="e">
        <f ca="1">checksummeint(G1544,H1544,I1544,J1544,K1544,L1544,M1544,N1544)</f>
        <v>#NAME?</v>
      </c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</row>
    <row r="1545" spans="1:28">
      <c r="C1545" s="2"/>
      <c r="D1545" s="2">
        <v>28</v>
      </c>
      <c r="E1545" s="2" t="s">
        <v>12</v>
      </c>
      <c r="F1545" s="24">
        <v>150</v>
      </c>
      <c r="G1545" s="24">
        <v>0</v>
      </c>
      <c r="H1545" s="24">
        <v>0</v>
      </c>
      <c r="I1545" s="24">
        <v>0</v>
      </c>
      <c r="J1545" s="24">
        <v>400</v>
      </c>
      <c r="K1545" s="24">
        <v>0</v>
      </c>
      <c r="L1545" s="24">
        <v>0</v>
      </c>
      <c r="M1545" s="24">
        <v>0</v>
      </c>
      <c r="N1545" s="24">
        <v>0</v>
      </c>
      <c r="O1545" s="24" t="s">
        <v>19</v>
      </c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</row>
    <row r="1546" spans="1:28">
      <c r="C1546" s="2">
        <v>1</v>
      </c>
      <c r="D1546" s="2">
        <v>8</v>
      </c>
      <c r="E1546" s="2" t="s">
        <v>14</v>
      </c>
      <c r="F1546" s="24">
        <v>0</v>
      </c>
      <c r="G1546" s="24">
        <v>8</v>
      </c>
      <c r="H1546" s="24">
        <v>0</v>
      </c>
      <c r="I1546" s="24">
        <v>0</v>
      </c>
      <c r="J1546" s="24">
        <v>0</v>
      </c>
      <c r="K1546" s="24"/>
      <c r="L1546" s="24"/>
      <c r="M1546" s="24"/>
      <c r="N1546" s="24"/>
      <c r="O1546" s="24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</row>
    <row r="1547" spans="1:28">
      <c r="C1547" s="2">
        <v>2</v>
      </c>
      <c r="D1547" s="2">
        <v>7</v>
      </c>
      <c r="E1547" s="2" t="s">
        <v>11</v>
      </c>
      <c r="F1547" s="24">
        <v>0</v>
      </c>
      <c r="G1547" s="24">
        <v>0</v>
      </c>
      <c r="H1547" s="24">
        <v>0</v>
      </c>
      <c r="I1547" s="24">
        <v>0</v>
      </c>
      <c r="J1547" s="24"/>
      <c r="K1547" s="24"/>
      <c r="L1547" s="24"/>
      <c r="M1547" s="24"/>
      <c r="N1547" s="24"/>
      <c r="O1547" s="24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</row>
    <row r="1548" spans="1:28">
      <c r="C1548" s="2">
        <v>3</v>
      </c>
      <c r="D1548" s="2">
        <v>8</v>
      </c>
      <c r="E1548" s="2" t="s">
        <v>14</v>
      </c>
      <c r="F1548" s="24">
        <v>0</v>
      </c>
      <c r="G1548" s="24">
        <v>4</v>
      </c>
      <c r="H1548" s="24">
        <v>0</v>
      </c>
      <c r="I1548" s="24">
        <f>255*256+J1548</f>
        <v>65472</v>
      </c>
      <c r="J1548" s="24">
        <f>H1549</f>
        <v>192</v>
      </c>
      <c r="K1548" s="24"/>
      <c r="L1548" s="24"/>
      <c r="M1548" s="24"/>
      <c r="N1548" s="24"/>
      <c r="O1548" s="24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</row>
    <row r="1549" spans="1:28">
      <c r="C1549" s="2">
        <v>4</v>
      </c>
      <c r="D1549" s="2">
        <v>7</v>
      </c>
      <c r="E1549" s="2" t="s">
        <v>11</v>
      </c>
      <c r="F1549" s="24">
        <v>0</v>
      </c>
      <c r="G1549" s="24">
        <f>255*256+H1549</f>
        <v>65472</v>
      </c>
      <c r="H1549" s="24">
        <v>192</v>
      </c>
      <c r="I1549" s="24">
        <v>0</v>
      </c>
      <c r="J1549" s="24"/>
      <c r="K1549" s="24"/>
      <c r="L1549" s="24"/>
      <c r="M1549" s="24"/>
      <c r="N1549" s="24"/>
      <c r="O1549" s="24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</row>
    <row r="1550" spans="1:28">
      <c r="C1550" s="2">
        <v>5</v>
      </c>
      <c r="D1550" s="2">
        <v>28</v>
      </c>
      <c r="E1550" s="2" t="s">
        <v>12</v>
      </c>
      <c r="F1550" s="24">
        <v>150</v>
      </c>
      <c r="G1550" s="24">
        <v>0</v>
      </c>
      <c r="H1550" s="24">
        <v>3350</v>
      </c>
      <c r="I1550" s="24">
        <v>0</v>
      </c>
      <c r="J1550" s="24">
        <v>400</v>
      </c>
      <c r="K1550" s="24">
        <v>0</v>
      </c>
      <c r="L1550" s="24">
        <v>0</v>
      </c>
      <c r="M1550" s="24">
        <v>0</v>
      </c>
      <c r="N1550" s="24">
        <v>0</v>
      </c>
      <c r="O1550" s="24" t="s">
        <v>19</v>
      </c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</row>
    <row r="1551" spans="1:28">
      <c r="C1551" s="2">
        <v>6</v>
      </c>
      <c r="D1551" s="2">
        <v>28</v>
      </c>
      <c r="E1551" s="2" t="s">
        <v>12</v>
      </c>
      <c r="F1551" s="24">
        <v>100</v>
      </c>
      <c r="G1551" s="24">
        <v>0</v>
      </c>
      <c r="H1551" s="24">
        <v>3450</v>
      </c>
      <c r="I1551" s="24">
        <v>0</v>
      </c>
      <c r="J1551" s="24">
        <v>400</v>
      </c>
      <c r="K1551" s="24">
        <v>0</v>
      </c>
      <c r="L1551" s="24">
        <v>0</v>
      </c>
      <c r="M1551" s="24">
        <v>0</v>
      </c>
      <c r="N1551" s="24">
        <v>0</v>
      </c>
      <c r="O1551" s="24" t="s">
        <v>19</v>
      </c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</row>
    <row r="1552" spans="1:28">
      <c r="C1552" s="2">
        <v>7</v>
      </c>
      <c r="D1552" s="2">
        <v>8</v>
      </c>
      <c r="E1552" s="2" t="s">
        <v>14</v>
      </c>
      <c r="F1552" s="24">
        <v>0</v>
      </c>
      <c r="G1552" s="24">
        <v>16</v>
      </c>
      <c r="H1552" s="24">
        <v>0</v>
      </c>
      <c r="I1552" s="24">
        <v>0</v>
      </c>
      <c r="J1552" s="24">
        <v>0</v>
      </c>
      <c r="K1552" s="24"/>
      <c r="L1552" s="24"/>
      <c r="M1552" s="24"/>
      <c r="N1552" s="24"/>
      <c r="O1552" s="24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</row>
    <row r="1553" spans="3:28">
      <c r="C1553" s="2">
        <v>8</v>
      </c>
      <c r="D1553" s="2">
        <v>7</v>
      </c>
      <c r="E1553" s="2" t="s">
        <v>11</v>
      </c>
      <c r="F1553" s="24">
        <v>0</v>
      </c>
      <c r="G1553" s="24">
        <f>255*256+H1553</f>
        <v>65520</v>
      </c>
      <c r="H1553" s="24">
        <v>240</v>
      </c>
      <c r="I1553" s="24">
        <v>0</v>
      </c>
      <c r="J1553" s="24"/>
      <c r="K1553" s="24"/>
      <c r="L1553" s="24"/>
      <c r="M1553" s="24"/>
      <c r="N1553" s="24"/>
      <c r="O1553" s="24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</row>
    <row r="1554" spans="3:28">
      <c r="C1554" s="2">
        <v>9</v>
      </c>
      <c r="D1554" s="2">
        <v>8</v>
      </c>
      <c r="E1554" s="2" t="s">
        <v>14</v>
      </c>
      <c r="F1554" s="24">
        <v>0</v>
      </c>
      <c r="G1554" s="24">
        <v>24</v>
      </c>
      <c r="H1554" s="24">
        <v>0</v>
      </c>
      <c r="I1554" s="24">
        <v>255</v>
      </c>
      <c r="J1554" s="24">
        <v>0</v>
      </c>
      <c r="K1554" s="24"/>
      <c r="L1554" s="24"/>
      <c r="M1554" s="24"/>
      <c r="N1554" s="24"/>
      <c r="O1554" s="24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</row>
    <row r="1555" spans="3:28">
      <c r="C1555" s="2">
        <v>10</v>
      </c>
      <c r="D1555" s="2">
        <v>7</v>
      </c>
      <c r="E1555" s="2" t="s">
        <v>11</v>
      </c>
      <c r="F1555" s="24">
        <v>0</v>
      </c>
      <c r="G1555" s="24">
        <v>255</v>
      </c>
      <c r="H1555" s="24">
        <v>0</v>
      </c>
      <c r="I1555" s="24">
        <v>0</v>
      </c>
      <c r="J1555" s="24"/>
      <c r="K1555" s="24"/>
      <c r="L1555" s="24"/>
      <c r="M1555" s="24"/>
      <c r="N1555" s="24"/>
      <c r="O1555" s="24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</row>
    <row r="1556" spans="3:28">
      <c r="C1556" s="2"/>
      <c r="D1556" s="2">
        <v>4</v>
      </c>
      <c r="E1556" s="2" t="s">
        <v>15</v>
      </c>
      <c r="F1556" s="24">
        <v>0</v>
      </c>
      <c r="G1556" s="24"/>
      <c r="H1556" s="24"/>
      <c r="I1556" s="24"/>
      <c r="J1556" s="24"/>
      <c r="K1556" s="24"/>
      <c r="L1556" s="24"/>
      <c r="M1556" s="24"/>
      <c r="N1556" s="24"/>
      <c r="O1556" s="24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</row>
    <row r="1557" spans="3:28">
      <c r="C1557" s="2"/>
      <c r="D1557" s="2">
        <v>4</v>
      </c>
      <c r="E1557" s="2" t="s">
        <v>15</v>
      </c>
      <c r="F1557" s="24">
        <v>1</v>
      </c>
      <c r="G1557" s="24"/>
      <c r="H1557" s="24"/>
      <c r="I1557" s="24"/>
      <c r="J1557" s="24"/>
      <c r="K1557" s="24"/>
      <c r="L1557" s="24"/>
      <c r="M1557" s="24"/>
      <c r="N1557" s="24"/>
      <c r="O1557" s="24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</row>
    <row r="1558" spans="3:28">
      <c r="C1558" s="2"/>
      <c r="D1558" s="2">
        <v>5</v>
      </c>
      <c r="E1558" s="2" t="s">
        <v>59</v>
      </c>
      <c r="F1558" s="24">
        <v>1</v>
      </c>
      <c r="G1558" s="24">
        <v>0</v>
      </c>
      <c r="H1558" s="24"/>
      <c r="I1558" s="24"/>
      <c r="J1558" s="24"/>
      <c r="K1558" s="24"/>
      <c r="L1558" s="24"/>
      <c r="M1558" s="24"/>
      <c r="N1558" s="24"/>
      <c r="O1558" s="24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</row>
    <row r="1559" spans="3:28">
      <c r="C1559" s="2"/>
      <c r="D1559" s="2">
        <v>4</v>
      </c>
      <c r="E1559" s="2" t="s">
        <v>15</v>
      </c>
      <c r="F1559" s="24">
        <v>2</v>
      </c>
      <c r="G1559" s="24"/>
      <c r="H1559" s="24"/>
      <c r="I1559" s="24"/>
      <c r="J1559" s="24"/>
      <c r="K1559" s="24"/>
      <c r="L1559" s="24"/>
      <c r="M1559" s="24"/>
      <c r="N1559" s="24"/>
      <c r="O1559" s="24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</row>
    <row r="1560" spans="3:28">
      <c r="C1560" s="2"/>
      <c r="D1560" s="2">
        <v>18</v>
      </c>
      <c r="E1560" s="2" t="s">
        <v>111</v>
      </c>
      <c r="F1560" s="24">
        <v>100</v>
      </c>
      <c r="G1560" s="24">
        <v>200</v>
      </c>
      <c r="H1560" s="24">
        <v>1500</v>
      </c>
      <c r="I1560" s="24">
        <v>200</v>
      </c>
      <c r="J1560" s="24">
        <v>150</v>
      </c>
      <c r="K1560" s="24"/>
      <c r="L1560" s="24"/>
      <c r="M1560" s="24"/>
      <c r="N1560" s="24"/>
      <c r="O1560" s="24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</row>
    <row r="1561" spans="3:28">
      <c r="C1561" s="2"/>
      <c r="D1561" s="2">
        <v>18</v>
      </c>
      <c r="E1561" s="2" t="s">
        <v>111</v>
      </c>
      <c r="F1561" s="24">
        <v>100</v>
      </c>
      <c r="G1561" s="24">
        <v>100</v>
      </c>
      <c r="H1561" s="24">
        <v>1400</v>
      </c>
      <c r="I1561" s="24">
        <v>5350</v>
      </c>
      <c r="J1561" s="24">
        <v>1400</v>
      </c>
      <c r="K1561" s="24"/>
      <c r="L1561" s="24"/>
      <c r="M1561" s="24"/>
      <c r="N1561" s="24"/>
      <c r="O1561" s="24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</row>
    <row r="1562" spans="3:28">
      <c r="C1562" s="2"/>
      <c r="D1562" s="2">
        <v>4</v>
      </c>
      <c r="E1562" s="2" t="s">
        <v>15</v>
      </c>
      <c r="F1562" s="24">
        <v>3</v>
      </c>
      <c r="G1562" s="24"/>
      <c r="H1562" s="24"/>
      <c r="I1562" s="24"/>
      <c r="J1562" s="24"/>
      <c r="K1562" s="24"/>
      <c r="L1562" s="24"/>
      <c r="M1562" s="24"/>
      <c r="N1562" s="24"/>
      <c r="O1562" s="24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</row>
    <row r="1563" spans="3:28">
      <c r="C1563" s="2"/>
      <c r="D1563" s="2">
        <f t="shared" ref="D1563:D1589" si="104">F1563*2+4</f>
        <v>10</v>
      </c>
      <c r="E1563" s="2" t="s">
        <v>1</v>
      </c>
      <c r="F1563" s="24">
        <v>3</v>
      </c>
      <c r="G1563" s="24">
        <v>200</v>
      </c>
      <c r="H1563" s="24">
        <v>400</v>
      </c>
      <c r="I1563" s="24">
        <v>1200</v>
      </c>
      <c r="J1563" s="24">
        <v>1400</v>
      </c>
      <c r="K1563" s="24">
        <f>I1563*2-200</f>
        <v>2200</v>
      </c>
      <c r="L1563" s="24">
        <f>H1564</f>
        <v>400</v>
      </c>
      <c r="M1563" s="24"/>
      <c r="N1563" s="24"/>
      <c r="O1563" s="24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</row>
    <row r="1564" spans="3:28">
      <c r="C1564" s="2"/>
      <c r="D1564" s="2">
        <f t="shared" si="104"/>
        <v>10</v>
      </c>
      <c r="E1564" s="2" t="str">
        <f t="shared" ref="E1564:E1589" si="105">E1563</f>
        <v>Polylinie</v>
      </c>
      <c r="F1564" s="24">
        <v>3</v>
      </c>
      <c r="G1564" s="24">
        <f t="shared" ref="G1564:I1579" si="106">G1563</f>
        <v>200</v>
      </c>
      <c r="H1564" s="24">
        <f t="shared" si="106"/>
        <v>400</v>
      </c>
      <c r="I1564" s="24">
        <f>I1563+1000</f>
        <v>2200</v>
      </c>
      <c r="J1564" s="24">
        <f>J1563</f>
        <v>1400</v>
      </c>
      <c r="K1564" s="24">
        <f>I1564*2-200</f>
        <v>4200</v>
      </c>
      <c r="L1564" s="24">
        <f>H1565</f>
        <v>400</v>
      </c>
      <c r="M1564" s="24"/>
      <c r="N1564" s="24"/>
      <c r="O1564" s="24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</row>
    <row r="1565" spans="3:28">
      <c r="C1565" s="2"/>
      <c r="D1565" s="2">
        <f t="shared" si="104"/>
        <v>10</v>
      </c>
      <c r="E1565" s="2" t="str">
        <f t="shared" si="105"/>
        <v>Polylinie</v>
      </c>
      <c r="F1565" s="24">
        <v>3</v>
      </c>
      <c r="G1565" s="24">
        <f t="shared" si="106"/>
        <v>200</v>
      </c>
      <c r="H1565" s="24">
        <f t="shared" si="106"/>
        <v>400</v>
      </c>
      <c r="I1565" s="24">
        <f>I1564+1000</f>
        <v>3200</v>
      </c>
      <c r="J1565" s="24">
        <f>J1564</f>
        <v>1400</v>
      </c>
      <c r="K1565" s="24">
        <v>5200</v>
      </c>
      <c r="L1565" s="24">
        <v>733</v>
      </c>
      <c r="M1565" s="24"/>
      <c r="N1565" s="24"/>
      <c r="O1565" s="24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</row>
    <row r="1566" spans="3:28">
      <c r="C1566" s="2"/>
      <c r="D1566" s="2">
        <f t="shared" si="104"/>
        <v>10</v>
      </c>
      <c r="E1566" s="2" t="str">
        <f t="shared" si="105"/>
        <v>Polylinie</v>
      </c>
      <c r="F1566" s="24">
        <v>3</v>
      </c>
      <c r="G1566" s="24">
        <f t="shared" si="106"/>
        <v>200</v>
      </c>
      <c r="H1566" s="24">
        <f t="shared" si="106"/>
        <v>400</v>
      </c>
      <c r="I1566" s="24">
        <f>I1565+1000</f>
        <v>4200</v>
      </c>
      <c r="J1566" s="24">
        <f>J1565</f>
        <v>1400</v>
      </c>
      <c r="K1566" s="24">
        <v>5200</v>
      </c>
      <c r="L1566" s="24">
        <v>1150</v>
      </c>
      <c r="M1566" s="24"/>
      <c r="N1566" s="24"/>
      <c r="O1566" s="24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</row>
    <row r="1567" spans="3:28">
      <c r="C1567" s="2"/>
      <c r="D1567" s="2">
        <f t="shared" si="104"/>
        <v>8</v>
      </c>
      <c r="E1567" s="2" t="str">
        <f t="shared" si="105"/>
        <v>Polylinie</v>
      </c>
      <c r="F1567" s="24">
        <v>2</v>
      </c>
      <c r="G1567" s="24">
        <f t="shared" si="106"/>
        <v>200</v>
      </c>
      <c r="H1567" s="24">
        <f t="shared" si="106"/>
        <v>400</v>
      </c>
      <c r="I1567" s="24">
        <f>I1566+1000</f>
        <v>5200</v>
      </c>
      <c r="J1567" s="24">
        <f>J1566</f>
        <v>1400</v>
      </c>
      <c r="K1567" s="24"/>
      <c r="L1567" s="24"/>
      <c r="M1567" s="24"/>
      <c r="N1567" s="24"/>
      <c r="O1567" s="24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</row>
    <row r="1568" spans="3:28">
      <c r="C1568" s="2"/>
      <c r="D1568" s="2">
        <f t="shared" si="104"/>
        <v>8</v>
      </c>
      <c r="E1568" s="2" t="str">
        <f t="shared" si="105"/>
        <v>Polylinie</v>
      </c>
      <c r="F1568" s="24">
        <v>2</v>
      </c>
      <c r="G1568" s="24">
        <f t="shared" si="106"/>
        <v>200</v>
      </c>
      <c r="H1568" s="24">
        <f t="shared" si="106"/>
        <v>400</v>
      </c>
      <c r="I1568" s="24">
        <f>I1567</f>
        <v>5200</v>
      </c>
      <c r="J1568" s="24">
        <f>400+5000/6</f>
        <v>1233.3333333333335</v>
      </c>
      <c r="K1568" s="24"/>
      <c r="L1568" s="24"/>
      <c r="M1568" s="24"/>
      <c r="N1568" s="24"/>
      <c r="O1568" s="24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</row>
    <row r="1569" spans="3:28">
      <c r="C1569" s="2"/>
      <c r="D1569" s="2">
        <f t="shared" si="104"/>
        <v>8</v>
      </c>
      <c r="E1569" s="2" t="str">
        <f t="shared" si="105"/>
        <v>Polylinie</v>
      </c>
      <c r="F1569" s="24">
        <v>2</v>
      </c>
      <c r="G1569" s="24">
        <f t="shared" si="106"/>
        <v>200</v>
      </c>
      <c r="H1569" s="24">
        <f t="shared" si="106"/>
        <v>400</v>
      </c>
      <c r="I1569" s="24">
        <f>I1568</f>
        <v>5200</v>
      </c>
      <c r="J1569" s="24">
        <f>400+5000/7</f>
        <v>1114.2857142857142</v>
      </c>
      <c r="K1569" s="24"/>
      <c r="L1569" s="24"/>
      <c r="M1569" s="24"/>
      <c r="N1569" s="24"/>
      <c r="O1569" s="24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</row>
    <row r="1570" spans="3:28">
      <c r="C1570" s="2"/>
      <c r="D1570" s="2">
        <f t="shared" si="104"/>
        <v>8</v>
      </c>
      <c r="E1570" s="2" t="str">
        <f t="shared" si="105"/>
        <v>Polylinie</v>
      </c>
      <c r="F1570" s="24">
        <v>2</v>
      </c>
      <c r="G1570" s="24">
        <f t="shared" si="106"/>
        <v>200</v>
      </c>
      <c r="H1570" s="24">
        <f t="shared" si="106"/>
        <v>400</v>
      </c>
      <c r="I1570" s="24">
        <f t="shared" si="106"/>
        <v>5200</v>
      </c>
      <c r="J1570" s="24">
        <f>400+5000/8</f>
        <v>1025</v>
      </c>
      <c r="K1570" s="24"/>
      <c r="L1570" s="24"/>
      <c r="M1570" s="24"/>
      <c r="N1570" s="24"/>
      <c r="O1570" s="24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</row>
    <row r="1571" spans="3:28">
      <c r="C1571" s="2"/>
      <c r="D1571" s="2">
        <f t="shared" si="104"/>
        <v>8</v>
      </c>
      <c r="E1571" s="2" t="str">
        <f t="shared" si="105"/>
        <v>Polylinie</v>
      </c>
      <c r="F1571" s="24">
        <v>2</v>
      </c>
      <c r="G1571" s="24">
        <f t="shared" si="106"/>
        <v>200</v>
      </c>
      <c r="H1571" s="24">
        <f t="shared" si="106"/>
        <v>400</v>
      </c>
      <c r="I1571" s="24">
        <f t="shared" si="106"/>
        <v>5200</v>
      </c>
      <c r="J1571" s="24">
        <f>400+5000/9</f>
        <v>955.55555555555554</v>
      </c>
      <c r="K1571" s="24"/>
      <c r="L1571" s="24"/>
      <c r="M1571" s="24"/>
      <c r="N1571" s="24"/>
      <c r="O1571" s="24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</row>
    <row r="1572" spans="3:28">
      <c r="C1572" s="2"/>
      <c r="D1572" s="2">
        <f t="shared" si="104"/>
        <v>8</v>
      </c>
      <c r="E1572" s="2" t="str">
        <f t="shared" si="105"/>
        <v>Polylinie</v>
      </c>
      <c r="F1572" s="24">
        <v>2</v>
      </c>
      <c r="G1572" s="24">
        <f t="shared" si="106"/>
        <v>200</v>
      </c>
      <c r="H1572" s="24">
        <f t="shared" si="106"/>
        <v>400</v>
      </c>
      <c r="I1572" s="24">
        <f t="shared" si="106"/>
        <v>5200</v>
      </c>
      <c r="J1572" s="24">
        <f>400+5000/10</f>
        <v>900</v>
      </c>
      <c r="K1572" s="24"/>
      <c r="L1572" s="24"/>
      <c r="M1572" s="24"/>
      <c r="N1572" s="24"/>
      <c r="O1572" s="24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</row>
    <row r="1573" spans="3:28">
      <c r="C1573" s="2"/>
      <c r="D1573" s="2">
        <f t="shared" si="104"/>
        <v>8</v>
      </c>
      <c r="E1573" s="2" t="str">
        <f t="shared" si="105"/>
        <v>Polylinie</v>
      </c>
      <c r="F1573" s="24">
        <v>2</v>
      </c>
      <c r="G1573" s="24">
        <f t="shared" si="106"/>
        <v>200</v>
      </c>
      <c r="H1573" s="24">
        <f t="shared" si="106"/>
        <v>400</v>
      </c>
      <c r="I1573" s="24">
        <f t="shared" si="106"/>
        <v>5200</v>
      </c>
      <c r="J1573" s="24">
        <f>400+5000/11</f>
        <v>854.5454545454545</v>
      </c>
      <c r="K1573" s="24"/>
      <c r="L1573" s="24"/>
      <c r="M1573" s="24"/>
      <c r="N1573" s="24"/>
      <c r="O1573" s="24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</row>
    <row r="1574" spans="3:28">
      <c r="C1574" s="2"/>
      <c r="D1574" s="2">
        <f t="shared" si="104"/>
        <v>8</v>
      </c>
      <c r="E1574" s="2" t="str">
        <f t="shared" si="105"/>
        <v>Polylinie</v>
      </c>
      <c r="F1574" s="24">
        <v>2</v>
      </c>
      <c r="G1574" s="24">
        <f t="shared" si="106"/>
        <v>200</v>
      </c>
      <c r="H1574" s="24">
        <f t="shared" si="106"/>
        <v>400</v>
      </c>
      <c r="I1574" s="24">
        <f t="shared" si="106"/>
        <v>5200</v>
      </c>
      <c r="J1574" s="24">
        <f>400+5000/12</f>
        <v>816.66666666666674</v>
      </c>
      <c r="K1574" s="24"/>
      <c r="L1574" s="24"/>
      <c r="M1574" s="24"/>
      <c r="N1574" s="24"/>
      <c r="O1574" s="24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</row>
    <row r="1575" spans="3:28">
      <c r="C1575" s="2"/>
      <c r="D1575" s="2">
        <f t="shared" si="104"/>
        <v>8</v>
      </c>
      <c r="E1575" s="2" t="str">
        <f t="shared" si="105"/>
        <v>Polylinie</v>
      </c>
      <c r="F1575" s="24">
        <v>2</v>
      </c>
      <c r="G1575" s="24">
        <f t="shared" si="106"/>
        <v>200</v>
      </c>
      <c r="H1575" s="24">
        <f t="shared" si="106"/>
        <v>400</v>
      </c>
      <c r="I1575" s="24">
        <f t="shared" si="106"/>
        <v>5200</v>
      </c>
      <c r="J1575" s="24">
        <f>400+5000/13</f>
        <v>784.61538461538464</v>
      </c>
      <c r="K1575" s="24"/>
      <c r="L1575" s="24"/>
      <c r="M1575" s="24"/>
      <c r="N1575" s="24"/>
      <c r="O1575" s="24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</row>
    <row r="1576" spans="3:28">
      <c r="C1576" s="2"/>
      <c r="D1576" s="2">
        <f t="shared" si="104"/>
        <v>8</v>
      </c>
      <c r="E1576" s="2" t="str">
        <f t="shared" si="105"/>
        <v>Polylinie</v>
      </c>
      <c r="F1576" s="24">
        <v>2</v>
      </c>
      <c r="G1576" s="24">
        <f t="shared" si="106"/>
        <v>200</v>
      </c>
      <c r="H1576" s="24">
        <f t="shared" si="106"/>
        <v>400</v>
      </c>
      <c r="I1576" s="24">
        <f t="shared" si="106"/>
        <v>5200</v>
      </c>
      <c r="J1576" s="24">
        <f>400+5000/14</f>
        <v>757.14285714285711</v>
      </c>
      <c r="K1576" s="24"/>
      <c r="L1576" s="24"/>
      <c r="M1576" s="24"/>
      <c r="N1576" s="24"/>
      <c r="O1576" s="24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</row>
    <row r="1577" spans="3:28">
      <c r="C1577" s="2"/>
      <c r="D1577" s="2">
        <f t="shared" si="104"/>
        <v>8</v>
      </c>
      <c r="E1577" s="2" t="str">
        <f t="shared" si="105"/>
        <v>Polylinie</v>
      </c>
      <c r="F1577" s="24">
        <v>2</v>
      </c>
      <c r="G1577" s="24">
        <f t="shared" si="106"/>
        <v>200</v>
      </c>
      <c r="H1577" s="24">
        <f t="shared" si="106"/>
        <v>400</v>
      </c>
      <c r="I1577" s="24">
        <f t="shared" si="106"/>
        <v>5200</v>
      </c>
      <c r="J1577" s="24">
        <f>400+5000/15</f>
        <v>733.33333333333326</v>
      </c>
      <c r="K1577" s="24"/>
      <c r="L1577" s="24"/>
      <c r="M1577" s="24"/>
      <c r="N1577" s="24"/>
      <c r="O1577" s="24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</row>
    <row r="1578" spans="3:28">
      <c r="C1578" s="2"/>
      <c r="D1578" s="2">
        <f t="shared" si="104"/>
        <v>8</v>
      </c>
      <c r="E1578" s="2" t="str">
        <f t="shared" si="105"/>
        <v>Polylinie</v>
      </c>
      <c r="F1578" s="24">
        <v>2</v>
      </c>
      <c r="G1578" s="24">
        <f t="shared" si="106"/>
        <v>200</v>
      </c>
      <c r="H1578" s="24">
        <f t="shared" si="106"/>
        <v>400</v>
      </c>
      <c r="I1578" s="24">
        <f t="shared" si="106"/>
        <v>5200</v>
      </c>
      <c r="J1578" s="24">
        <f>400+5000/16</f>
        <v>712.5</v>
      </c>
      <c r="K1578" s="24"/>
      <c r="L1578" s="24"/>
      <c r="M1578" s="24"/>
      <c r="N1578" s="24"/>
      <c r="O1578" s="24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</row>
    <row r="1579" spans="3:28">
      <c r="C1579" s="2"/>
      <c r="D1579" s="2">
        <f t="shared" si="104"/>
        <v>8</v>
      </c>
      <c r="E1579" s="2" t="str">
        <f t="shared" si="105"/>
        <v>Polylinie</v>
      </c>
      <c r="F1579" s="24">
        <v>2</v>
      </c>
      <c r="G1579" s="24">
        <f t="shared" si="106"/>
        <v>200</v>
      </c>
      <c r="H1579" s="24">
        <f t="shared" si="106"/>
        <v>400</v>
      </c>
      <c r="I1579" s="24">
        <f t="shared" si="106"/>
        <v>5200</v>
      </c>
      <c r="J1579" s="24">
        <f>400+5000/17</f>
        <v>694.11764705882354</v>
      </c>
      <c r="K1579" s="24"/>
      <c r="L1579" s="24"/>
      <c r="M1579" s="24"/>
      <c r="N1579" s="24"/>
      <c r="O1579" s="24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</row>
    <row r="1580" spans="3:28">
      <c r="C1580" s="2"/>
      <c r="D1580" s="2">
        <f t="shared" si="104"/>
        <v>8</v>
      </c>
      <c r="E1580" s="2" t="str">
        <f t="shared" si="105"/>
        <v>Polylinie</v>
      </c>
      <c r="F1580" s="24">
        <v>2</v>
      </c>
      <c r="G1580" s="24">
        <f t="shared" ref="G1580:I1589" si="107">G1579</f>
        <v>200</v>
      </c>
      <c r="H1580" s="24">
        <f t="shared" si="107"/>
        <v>400</v>
      </c>
      <c r="I1580" s="24">
        <f t="shared" si="107"/>
        <v>5200</v>
      </c>
      <c r="J1580" s="24">
        <f>400+5000/18</f>
        <v>677.77777777777783</v>
      </c>
      <c r="K1580" s="24"/>
      <c r="L1580" s="24"/>
      <c r="M1580" s="24"/>
      <c r="N1580" s="24"/>
      <c r="O1580" s="24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</row>
    <row r="1581" spans="3:28">
      <c r="C1581" s="2"/>
      <c r="D1581" s="2">
        <f t="shared" si="104"/>
        <v>8</v>
      </c>
      <c r="E1581" s="2" t="str">
        <f t="shared" si="105"/>
        <v>Polylinie</v>
      </c>
      <c r="F1581" s="24">
        <v>2</v>
      </c>
      <c r="G1581" s="24">
        <f t="shared" si="107"/>
        <v>200</v>
      </c>
      <c r="H1581" s="24">
        <f t="shared" si="107"/>
        <v>400</v>
      </c>
      <c r="I1581" s="24">
        <f t="shared" si="107"/>
        <v>5200</v>
      </c>
      <c r="J1581" s="24">
        <f>400+5000/19</f>
        <v>663.15789473684208</v>
      </c>
      <c r="K1581" s="24"/>
      <c r="L1581" s="24"/>
      <c r="M1581" s="24"/>
      <c r="N1581" s="24"/>
      <c r="O1581" s="24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</row>
    <row r="1582" spans="3:28">
      <c r="C1582" s="2"/>
      <c r="D1582" s="2">
        <f t="shared" si="104"/>
        <v>8</v>
      </c>
      <c r="E1582" s="2" t="str">
        <f t="shared" si="105"/>
        <v>Polylinie</v>
      </c>
      <c r="F1582" s="24">
        <v>2</v>
      </c>
      <c r="G1582" s="24">
        <f t="shared" si="107"/>
        <v>200</v>
      </c>
      <c r="H1582" s="24">
        <f t="shared" si="107"/>
        <v>400</v>
      </c>
      <c r="I1582" s="24">
        <f t="shared" si="107"/>
        <v>5200</v>
      </c>
      <c r="J1582" s="24">
        <f>400+5000/20</f>
        <v>650</v>
      </c>
      <c r="K1582" s="24"/>
      <c r="L1582" s="24"/>
      <c r="M1582" s="24"/>
      <c r="N1582" s="24"/>
      <c r="O1582" s="24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</row>
    <row r="1583" spans="3:28">
      <c r="C1583" s="2"/>
      <c r="D1583" s="2">
        <f t="shared" si="104"/>
        <v>8</v>
      </c>
      <c r="E1583" s="2" t="str">
        <f t="shared" si="105"/>
        <v>Polylinie</v>
      </c>
      <c r="F1583" s="24">
        <v>2</v>
      </c>
      <c r="G1583" s="24">
        <f t="shared" si="107"/>
        <v>200</v>
      </c>
      <c r="H1583" s="24">
        <f t="shared" si="107"/>
        <v>400</v>
      </c>
      <c r="I1583" s="24">
        <f t="shared" si="107"/>
        <v>5200</v>
      </c>
      <c r="J1583" s="24">
        <f>400+5000/21</f>
        <v>638.09523809523807</v>
      </c>
      <c r="K1583" s="24"/>
      <c r="L1583" s="24"/>
      <c r="M1583" s="24"/>
      <c r="N1583" s="24"/>
      <c r="O1583" s="24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</row>
    <row r="1584" spans="3:28">
      <c r="C1584" s="2"/>
      <c r="D1584" s="2">
        <f t="shared" si="104"/>
        <v>8</v>
      </c>
      <c r="E1584" s="2" t="str">
        <f t="shared" si="105"/>
        <v>Polylinie</v>
      </c>
      <c r="F1584" s="24">
        <v>2</v>
      </c>
      <c r="G1584" s="24">
        <f t="shared" si="107"/>
        <v>200</v>
      </c>
      <c r="H1584" s="24">
        <f t="shared" si="107"/>
        <v>400</v>
      </c>
      <c r="I1584" s="24">
        <f t="shared" si="107"/>
        <v>5200</v>
      </c>
      <c r="J1584" s="24">
        <f>400+5000/22</f>
        <v>627.27272727272725</v>
      </c>
      <c r="K1584" s="24"/>
      <c r="L1584" s="24"/>
      <c r="M1584" s="24"/>
      <c r="N1584" s="24"/>
      <c r="O1584" s="24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</row>
    <row r="1585" spans="3:28">
      <c r="C1585" s="2"/>
      <c r="D1585" s="2">
        <f t="shared" si="104"/>
        <v>8</v>
      </c>
      <c r="E1585" s="2" t="str">
        <f t="shared" si="105"/>
        <v>Polylinie</v>
      </c>
      <c r="F1585" s="24">
        <v>2</v>
      </c>
      <c r="G1585" s="24">
        <f t="shared" si="107"/>
        <v>200</v>
      </c>
      <c r="H1585" s="24">
        <f t="shared" si="107"/>
        <v>400</v>
      </c>
      <c r="I1585" s="24">
        <f t="shared" si="107"/>
        <v>5200</v>
      </c>
      <c r="J1585" s="24">
        <f>400+5000/23</f>
        <v>617.39130434782612</v>
      </c>
      <c r="K1585" s="24"/>
      <c r="L1585" s="24"/>
      <c r="M1585" s="24"/>
      <c r="N1585" s="24"/>
      <c r="O1585" s="24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</row>
    <row r="1586" spans="3:28">
      <c r="C1586" s="2"/>
      <c r="D1586" s="2">
        <f t="shared" si="104"/>
        <v>8</v>
      </c>
      <c r="E1586" s="2" t="str">
        <f t="shared" si="105"/>
        <v>Polylinie</v>
      </c>
      <c r="F1586" s="24">
        <v>2</v>
      </c>
      <c r="G1586" s="24">
        <f t="shared" si="107"/>
        <v>200</v>
      </c>
      <c r="H1586" s="24">
        <f t="shared" si="107"/>
        <v>400</v>
      </c>
      <c r="I1586" s="24">
        <f t="shared" si="107"/>
        <v>5200</v>
      </c>
      <c r="J1586" s="24">
        <f>400+5000/24</f>
        <v>608.33333333333337</v>
      </c>
      <c r="K1586" s="24"/>
      <c r="L1586" s="24"/>
      <c r="M1586" s="24"/>
      <c r="N1586" s="24"/>
      <c r="O1586" s="24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</row>
    <row r="1587" spans="3:28">
      <c r="C1587" s="2"/>
      <c r="D1587" s="2">
        <f t="shared" si="104"/>
        <v>8</v>
      </c>
      <c r="E1587" s="2" t="str">
        <f t="shared" si="105"/>
        <v>Polylinie</v>
      </c>
      <c r="F1587" s="24">
        <v>2</v>
      </c>
      <c r="G1587" s="24">
        <f t="shared" si="107"/>
        <v>200</v>
      </c>
      <c r="H1587" s="24">
        <f t="shared" si="107"/>
        <v>400</v>
      </c>
      <c r="I1587" s="24">
        <f t="shared" si="107"/>
        <v>5200</v>
      </c>
      <c r="J1587" s="24">
        <f>400+5000/25</f>
        <v>600</v>
      </c>
      <c r="K1587" s="24"/>
      <c r="L1587" s="24"/>
      <c r="M1587" s="24"/>
      <c r="N1587" s="24"/>
      <c r="O1587" s="24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</row>
    <row r="1588" spans="3:28">
      <c r="C1588" s="2"/>
      <c r="D1588" s="2">
        <f t="shared" si="104"/>
        <v>8</v>
      </c>
      <c r="E1588" s="2" t="str">
        <f t="shared" si="105"/>
        <v>Polylinie</v>
      </c>
      <c r="F1588" s="24">
        <v>2</v>
      </c>
      <c r="G1588" s="24">
        <f t="shared" si="107"/>
        <v>200</v>
      </c>
      <c r="H1588" s="24">
        <f t="shared" si="107"/>
        <v>400</v>
      </c>
      <c r="I1588" s="24">
        <f t="shared" si="107"/>
        <v>5200</v>
      </c>
      <c r="J1588" s="24">
        <f>400+5000/26</f>
        <v>592.30769230769238</v>
      </c>
      <c r="K1588" s="24"/>
      <c r="L1588" s="24"/>
      <c r="M1588" s="24"/>
      <c r="N1588" s="24"/>
      <c r="O1588" s="24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</row>
    <row r="1589" spans="3:28">
      <c r="C1589" s="2"/>
      <c r="D1589" s="2">
        <f t="shared" si="104"/>
        <v>8</v>
      </c>
      <c r="E1589" s="2" t="str">
        <f t="shared" si="105"/>
        <v>Polylinie</v>
      </c>
      <c r="F1589" s="24">
        <v>2</v>
      </c>
      <c r="G1589" s="24">
        <f t="shared" si="107"/>
        <v>200</v>
      </c>
      <c r="H1589" s="24">
        <f t="shared" si="107"/>
        <v>400</v>
      </c>
      <c r="I1589" s="24">
        <f t="shared" si="107"/>
        <v>5200</v>
      </c>
      <c r="J1589" s="24">
        <f>400+5000/27</f>
        <v>585.18518518518522</v>
      </c>
      <c r="K1589" s="24"/>
      <c r="L1589" s="24"/>
      <c r="M1589" s="24"/>
      <c r="N1589" s="24"/>
      <c r="O1589" s="24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</row>
    <row r="1590" spans="3:28">
      <c r="C1590" s="2"/>
      <c r="D1590" s="2">
        <v>4</v>
      </c>
      <c r="E1590" s="2" t="s">
        <v>15</v>
      </c>
      <c r="F1590" s="24">
        <v>4</v>
      </c>
      <c r="G1590" s="24"/>
      <c r="H1590" s="24"/>
      <c r="I1590" s="24"/>
      <c r="J1590" s="24"/>
      <c r="K1590" s="24"/>
      <c r="L1590" s="24"/>
      <c r="M1590" s="24"/>
      <c r="N1590" s="24"/>
      <c r="O1590" s="24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</row>
    <row r="1591" spans="3:28">
      <c r="C1591" s="2"/>
      <c r="D1591" s="2">
        <f>F1591*2+4</f>
        <v>10</v>
      </c>
      <c r="E1591" s="2" t="s">
        <v>4</v>
      </c>
      <c r="F1591" s="24">
        <v>3</v>
      </c>
      <c r="G1591" s="24">
        <v>200</v>
      </c>
      <c r="H1591" s="24">
        <v>400</v>
      </c>
      <c r="I1591" s="24">
        <v>5200</v>
      </c>
      <c r="J1591" s="24">
        <f>400+5000/28</f>
        <v>578.57142857142856</v>
      </c>
      <c r="K1591" s="24">
        <v>5200</v>
      </c>
      <c r="L1591" s="24">
        <v>400</v>
      </c>
      <c r="M1591" s="24"/>
      <c r="N1591" s="24"/>
      <c r="O1591" s="24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</row>
    <row r="1592" spans="3:28">
      <c r="C1592" s="2"/>
      <c r="D1592" s="2">
        <v>4</v>
      </c>
      <c r="E1592" s="2" t="s">
        <v>15</v>
      </c>
      <c r="F1592" s="24">
        <v>1</v>
      </c>
      <c r="G1592" s="24"/>
      <c r="H1592" s="24"/>
      <c r="I1592" s="24"/>
      <c r="J1592" s="24"/>
      <c r="K1592" s="24"/>
      <c r="L1592" s="24"/>
      <c r="M1592" s="24"/>
      <c r="N1592" s="24"/>
      <c r="O1592" s="24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</row>
    <row r="1593" spans="3:28">
      <c r="C1593" s="2"/>
      <c r="D1593" s="2">
        <f>F1593*2+4</f>
        <v>26</v>
      </c>
      <c r="E1593" s="2" t="s">
        <v>4</v>
      </c>
      <c r="F1593" s="24">
        <v>11</v>
      </c>
      <c r="G1593" s="24">
        <v>200</v>
      </c>
      <c r="H1593" s="24">
        <v>1400</v>
      </c>
      <c r="I1593" s="24">
        <v>200</v>
      </c>
      <c r="J1593" s="24">
        <v>400</v>
      </c>
      <c r="K1593" s="24">
        <v>1200</v>
      </c>
      <c r="L1593" s="24">
        <v>1400</v>
      </c>
      <c r="M1593" s="24">
        <f>M1594+K1593</f>
        <v>1533.3333333333333</v>
      </c>
      <c r="N1593" s="24">
        <f>L1593-N1594</f>
        <v>1066.6666666666667</v>
      </c>
      <c r="O1593" s="24">
        <f>K1593+1000</f>
        <v>2200</v>
      </c>
      <c r="P1593" s="2">
        <f>L1593</f>
        <v>1400</v>
      </c>
      <c r="Q1593" s="2">
        <f>Q1594+O1593</f>
        <v>2600</v>
      </c>
      <c r="R1593" s="2">
        <f>P1593-R1594</f>
        <v>1200</v>
      </c>
      <c r="S1593" s="2">
        <f>O1593+1000</f>
        <v>3200</v>
      </c>
      <c r="T1593" s="2">
        <f>P1593</f>
        <v>1400</v>
      </c>
      <c r="U1593" s="2">
        <f>U1594+S1593</f>
        <v>3628.5714285714284</v>
      </c>
      <c r="V1593" s="2">
        <f>T1593-V1594</f>
        <v>1257.1428571428571</v>
      </c>
      <c r="W1593" s="2">
        <f>S1593+1000</f>
        <v>4200</v>
      </c>
      <c r="X1593" s="2">
        <f>T1593</f>
        <v>1400</v>
      </c>
      <c r="Y1593" s="2">
        <f>Y1594+W1593</f>
        <v>4644.4444444444443</v>
      </c>
      <c r="Z1593" s="2">
        <f>X1593-Z1594</f>
        <v>1288.8888888888889</v>
      </c>
      <c r="AA1593" s="2">
        <f>W1593+1000</f>
        <v>5200</v>
      </c>
      <c r="AB1593" s="2">
        <f>X1593</f>
        <v>1400</v>
      </c>
    </row>
    <row r="1594" spans="3:28">
      <c r="C1594" s="2"/>
      <c r="D1594" s="2">
        <f t="shared" ref="D1594:D1603" si="108">ROUNDUP(6+F1594/2,0)</f>
        <v>7</v>
      </c>
      <c r="E1594" s="2" t="s">
        <v>6</v>
      </c>
      <c r="F1594" s="24">
        <f t="shared" ref="F1594:F1603" si="109">LEN(G1594)</f>
        <v>1</v>
      </c>
      <c r="G1594" s="24">
        <v>0</v>
      </c>
      <c r="H1594" s="24">
        <v>1320</v>
      </c>
      <c r="I1594" s="24">
        <v>25</v>
      </c>
      <c r="J1594" s="24"/>
      <c r="K1594" s="24"/>
      <c r="L1594" s="24"/>
      <c r="M1594" s="24">
        <f>1000/(2+1/O1594)</f>
        <v>333.33333333333331</v>
      </c>
      <c r="N1594" s="24">
        <f>M1594/O1594</f>
        <v>333.33333333333331</v>
      </c>
      <c r="O1594" s="24">
        <v>1</v>
      </c>
      <c r="P1594" s="2"/>
      <c r="Q1594" s="2">
        <f>1000/(2+1/S1594)</f>
        <v>400</v>
      </c>
      <c r="R1594" s="2">
        <f>Q1594/S1594</f>
        <v>200</v>
      </c>
      <c r="S1594" s="2">
        <v>2</v>
      </c>
      <c r="T1594" s="2"/>
      <c r="U1594" s="2">
        <f>1000/(2+1/W1594)</f>
        <v>428.57142857142856</v>
      </c>
      <c r="V1594" s="2">
        <f>U1594/W1594</f>
        <v>142.85714285714286</v>
      </c>
      <c r="W1594" s="2">
        <v>3</v>
      </c>
      <c r="X1594" s="2"/>
      <c r="Y1594" s="2">
        <f>1000/(2+1/AA1594)</f>
        <v>444.44444444444446</v>
      </c>
      <c r="Z1594" s="2">
        <f>Y1594/AA1594</f>
        <v>111.11111111111111</v>
      </c>
      <c r="AA1594" s="2">
        <v>4</v>
      </c>
      <c r="AB1594" s="2"/>
    </row>
    <row r="1595" spans="3:28">
      <c r="C1595" s="2"/>
      <c r="D1595" s="2">
        <f t="shared" si="108"/>
        <v>7</v>
      </c>
      <c r="E1595" s="2" t="s">
        <v>6</v>
      </c>
      <c r="F1595" s="24">
        <f t="shared" si="109"/>
        <v>1</v>
      </c>
      <c r="G1595" s="24">
        <v>1</v>
      </c>
      <c r="H1595" s="24">
        <v>320</v>
      </c>
      <c r="I1595" s="24">
        <v>25</v>
      </c>
      <c r="J1595" s="24"/>
      <c r="K1595" s="24"/>
      <c r="L1595" s="24"/>
      <c r="M1595" s="24"/>
      <c r="N1595" s="24"/>
      <c r="O1595" s="24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</row>
    <row r="1596" spans="3:28">
      <c r="C1596" s="2"/>
      <c r="D1596" s="2">
        <f t="shared" si="108"/>
        <v>7</v>
      </c>
      <c r="E1596" s="2" t="s">
        <v>6</v>
      </c>
      <c r="F1596" s="24">
        <f t="shared" si="109"/>
        <v>1</v>
      </c>
      <c r="G1596" s="24" t="s">
        <v>43</v>
      </c>
      <c r="H1596" s="24">
        <v>0</v>
      </c>
      <c r="I1596" s="24">
        <v>150</v>
      </c>
      <c r="J1596" s="24"/>
      <c r="K1596" s="24"/>
      <c r="L1596" s="24"/>
      <c r="M1596" s="24"/>
      <c r="N1596" s="24"/>
      <c r="O1596" s="24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</row>
    <row r="1597" spans="3:28">
      <c r="C1597" s="2"/>
      <c r="D1597" s="2">
        <f t="shared" si="108"/>
        <v>7</v>
      </c>
      <c r="E1597" s="2" t="s">
        <v>6</v>
      </c>
      <c r="F1597" s="24">
        <f t="shared" si="109"/>
        <v>1</v>
      </c>
      <c r="G1597" s="24" t="s">
        <v>22</v>
      </c>
      <c r="H1597" s="24">
        <v>1200</v>
      </c>
      <c r="I1597" s="24">
        <v>5250</v>
      </c>
      <c r="J1597" s="24"/>
      <c r="K1597" s="24"/>
      <c r="L1597" s="24"/>
      <c r="M1597" s="24"/>
      <c r="N1597" s="24"/>
      <c r="O1597" s="24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</row>
    <row r="1598" spans="3:28">
      <c r="C1598" s="2"/>
      <c r="D1598" s="2"/>
      <c r="E1598" s="2" t="s">
        <v>515</v>
      </c>
      <c r="F1598" s="24" t="s">
        <v>560</v>
      </c>
      <c r="G1598" s="24">
        <v>220</v>
      </c>
      <c r="H1598" s="24">
        <v>1420</v>
      </c>
      <c r="I1598" s="24">
        <v>1180</v>
      </c>
      <c r="J1598" s="24">
        <f>I1598+1000</f>
        <v>2180</v>
      </c>
      <c r="K1598" s="24">
        <f>J1598+1000</f>
        <v>3180</v>
      </c>
      <c r="L1598" s="24">
        <f>K1598+1000</f>
        <v>4180</v>
      </c>
      <c r="M1598" s="24">
        <v>5100</v>
      </c>
      <c r="N1598" s="24"/>
      <c r="O1598" s="24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</row>
    <row r="1599" spans="3:28">
      <c r="C1599" s="2"/>
      <c r="D1599" s="2">
        <f t="shared" si="108"/>
        <v>7</v>
      </c>
      <c r="E1599" s="2" t="s">
        <v>6</v>
      </c>
      <c r="F1599" s="24">
        <f t="shared" si="109"/>
        <v>2</v>
      </c>
      <c r="G1599" s="24" t="s">
        <v>173</v>
      </c>
      <c r="H1599" s="24">
        <v>1170</v>
      </c>
      <c r="I1599" s="24">
        <v>390</v>
      </c>
      <c r="J1599" s="24"/>
      <c r="K1599" s="24"/>
      <c r="L1599" s="24"/>
      <c r="M1599" s="24"/>
      <c r="N1599" s="24"/>
      <c r="O1599" s="24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</row>
    <row r="1600" spans="3:28">
      <c r="C1600" s="2"/>
      <c r="D1600" s="2">
        <f t="shared" si="108"/>
        <v>7</v>
      </c>
      <c r="E1600" s="2" t="s">
        <v>6</v>
      </c>
      <c r="F1600" s="24">
        <f t="shared" si="109"/>
        <v>2</v>
      </c>
      <c r="G1600" s="24" t="s">
        <v>174</v>
      </c>
      <c r="H1600" s="24">
        <v>1170</v>
      </c>
      <c r="I1600" s="24">
        <v>1470</v>
      </c>
      <c r="J1600" s="24"/>
      <c r="K1600" s="24"/>
      <c r="L1600" s="24"/>
      <c r="M1600" s="24"/>
      <c r="N1600" s="24"/>
      <c r="O1600" s="24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</row>
    <row r="1601" spans="3:28">
      <c r="C1601" s="2"/>
      <c r="D1601" s="2">
        <f t="shared" si="108"/>
        <v>7</v>
      </c>
      <c r="E1601" s="2" t="s">
        <v>6</v>
      </c>
      <c r="F1601" s="24">
        <f t="shared" si="109"/>
        <v>2</v>
      </c>
      <c r="G1601" s="24" t="s">
        <v>175</v>
      </c>
      <c r="H1601" s="24">
        <v>1230</v>
      </c>
      <c r="I1601" s="24">
        <v>2560</v>
      </c>
      <c r="J1601" s="24"/>
      <c r="K1601" s="24"/>
      <c r="L1601" s="24"/>
      <c r="M1601" s="24"/>
      <c r="N1601" s="24"/>
      <c r="O1601" s="24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</row>
    <row r="1602" spans="3:28">
      <c r="C1602" s="2"/>
      <c r="D1602" s="2">
        <f t="shared" si="108"/>
        <v>7</v>
      </c>
      <c r="E1602" s="2" t="s">
        <v>6</v>
      </c>
      <c r="F1602" s="24">
        <f t="shared" si="109"/>
        <v>2</v>
      </c>
      <c r="G1602" s="24" t="s">
        <v>176</v>
      </c>
      <c r="H1602" s="24">
        <v>1280</v>
      </c>
      <c r="I1602" s="24">
        <v>3560</v>
      </c>
      <c r="J1602" s="24"/>
      <c r="K1602" s="24"/>
      <c r="L1602" s="24"/>
      <c r="M1602" s="24"/>
      <c r="N1602" s="24"/>
      <c r="O1602" s="24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</row>
    <row r="1603" spans="3:28">
      <c r="C1603" s="2"/>
      <c r="D1603" s="2">
        <f t="shared" si="108"/>
        <v>7</v>
      </c>
      <c r="E1603" s="2" t="s">
        <v>6</v>
      </c>
      <c r="F1603" s="24">
        <f t="shared" si="109"/>
        <v>2</v>
      </c>
      <c r="G1603" s="24" t="s">
        <v>177</v>
      </c>
      <c r="H1603" s="24">
        <v>1280</v>
      </c>
      <c r="I1603" s="24">
        <v>4580</v>
      </c>
      <c r="J1603" s="24"/>
      <c r="K1603" s="24"/>
      <c r="L1603" s="24"/>
      <c r="M1603" s="24"/>
      <c r="N1603" s="24"/>
      <c r="O1603" s="24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</row>
    <row r="1604" spans="3:28">
      <c r="C1604" s="2"/>
      <c r="D1604" s="2">
        <v>4</v>
      </c>
      <c r="E1604" s="2" t="s">
        <v>15</v>
      </c>
      <c r="F1604" s="24">
        <v>1</v>
      </c>
      <c r="G1604" s="24"/>
      <c r="H1604" s="24"/>
      <c r="I1604" s="24"/>
      <c r="J1604" s="24"/>
      <c r="K1604" s="24"/>
      <c r="L1604" s="24"/>
      <c r="M1604" s="24"/>
      <c r="N1604" s="24"/>
      <c r="O1604" s="24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</row>
    <row r="1605" spans="3:28">
      <c r="C1605" s="2"/>
      <c r="D1605" s="2">
        <f>F1605*2+4</f>
        <v>10</v>
      </c>
      <c r="E1605" s="2" t="s">
        <v>1</v>
      </c>
      <c r="F1605" s="24">
        <v>3</v>
      </c>
      <c r="G1605" s="24">
        <v>100</v>
      </c>
      <c r="H1605" s="24">
        <v>400</v>
      </c>
      <c r="I1605" s="24">
        <v>5200</v>
      </c>
      <c r="J1605" s="24">
        <v>400</v>
      </c>
      <c r="K1605" s="24">
        <v>5200</v>
      </c>
      <c r="L1605" s="24">
        <v>1500</v>
      </c>
      <c r="M1605" s="24"/>
      <c r="N1605" s="24"/>
      <c r="O1605" s="24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</row>
    <row r="1606" spans="3:28">
      <c r="C1606" s="2"/>
      <c r="D1606" s="2">
        <v>4</v>
      </c>
      <c r="E1606" s="2" t="s">
        <v>15</v>
      </c>
      <c r="F1606" s="24">
        <v>7</v>
      </c>
      <c r="G1606" s="24"/>
      <c r="H1606" s="24"/>
      <c r="I1606" s="24"/>
      <c r="J1606" s="24"/>
      <c r="K1606" s="24"/>
      <c r="L1606" s="24"/>
      <c r="M1606" s="24"/>
      <c r="N1606" s="24"/>
      <c r="O1606" s="24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</row>
    <row r="1607" spans="3:28">
      <c r="C1607" s="2"/>
      <c r="D1607" s="2">
        <v>4</v>
      </c>
      <c r="E1607" s="2" t="s">
        <v>15</v>
      </c>
      <c r="F1607" s="24">
        <v>8</v>
      </c>
      <c r="G1607" s="24"/>
      <c r="H1607" s="24"/>
      <c r="I1607" s="24"/>
      <c r="J1607" s="24"/>
      <c r="K1607" s="24"/>
      <c r="L1607" s="24"/>
      <c r="M1607" s="24"/>
      <c r="N1607" s="24"/>
      <c r="O1607" s="24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</row>
    <row r="1608" spans="3:28">
      <c r="C1608" s="2"/>
      <c r="D1608" s="2">
        <f>F1608*2+4</f>
        <v>10</v>
      </c>
      <c r="E1608" s="2" t="s">
        <v>4</v>
      </c>
      <c r="F1608" s="24">
        <v>3</v>
      </c>
      <c r="G1608" s="24">
        <f>I1593</f>
        <v>200</v>
      </c>
      <c r="H1608" s="24">
        <f>J1593</f>
        <v>400</v>
      </c>
      <c r="I1608" s="24">
        <f>S1593</f>
        <v>3200</v>
      </c>
      <c r="J1608" s="24">
        <f>T1593</f>
        <v>1400</v>
      </c>
      <c r="K1608" s="24">
        <f>U1593</f>
        <v>3628.5714285714284</v>
      </c>
      <c r="L1608" s="24">
        <f>V1593</f>
        <v>1257.1428571428571</v>
      </c>
      <c r="M1608" s="24"/>
      <c r="N1608" s="24"/>
      <c r="O1608" s="24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</row>
    <row r="1609" spans="3:28">
      <c r="C1609" s="2"/>
      <c r="D1609" s="2">
        <v>4</v>
      </c>
      <c r="E1609" s="2" t="s">
        <v>15</v>
      </c>
      <c r="F1609" s="24">
        <v>5</v>
      </c>
      <c r="G1609" s="24"/>
      <c r="H1609" s="24"/>
      <c r="I1609" s="24"/>
      <c r="J1609" s="24"/>
      <c r="K1609" s="24"/>
      <c r="L1609" s="24"/>
      <c r="M1609" s="24"/>
      <c r="N1609" s="24"/>
      <c r="O1609" s="24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</row>
    <row r="1610" spans="3:28">
      <c r="C1610" s="2"/>
      <c r="D1610" s="2">
        <f>ROUNDUP(6+F1610/2,0)</f>
        <v>8</v>
      </c>
      <c r="E1610" s="2" t="s">
        <v>6</v>
      </c>
      <c r="F1610" s="24">
        <f>LEN(G1610)</f>
        <v>4</v>
      </c>
      <c r="G1610" s="24" t="s">
        <v>178</v>
      </c>
      <c r="H1610" s="24">
        <v>890</v>
      </c>
      <c r="I1610" s="24">
        <v>920</v>
      </c>
      <c r="J1610" s="24"/>
      <c r="K1610" s="24"/>
      <c r="L1610" s="24"/>
      <c r="M1610" s="24"/>
      <c r="N1610" s="24"/>
      <c r="O1610" s="24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</row>
    <row r="1611" spans="3:28">
      <c r="C1611" s="2"/>
      <c r="D1611" s="2">
        <f>ROUNDUP(6+F1611/2,0)</f>
        <v>8</v>
      </c>
      <c r="E1611" s="2" t="s">
        <v>6</v>
      </c>
      <c r="F1611" s="24">
        <f>LEN(G1611)</f>
        <v>4</v>
      </c>
      <c r="G1611" s="24" t="s">
        <v>179</v>
      </c>
      <c r="H1611" s="24">
        <v>720</v>
      </c>
      <c r="I1611" s="24">
        <v>1260</v>
      </c>
      <c r="J1611" s="24"/>
      <c r="K1611" s="24"/>
      <c r="L1611" s="24"/>
      <c r="M1611" s="24"/>
      <c r="N1611" s="24"/>
      <c r="O1611" s="24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</row>
    <row r="1612" spans="3:28">
      <c r="C1612" s="2"/>
      <c r="D1612" s="2">
        <f>ROUNDUP(6+F1612/2,0)</f>
        <v>8</v>
      </c>
      <c r="E1612" s="2" t="s">
        <v>6</v>
      </c>
      <c r="F1612" s="24">
        <f>LEN(G1612)</f>
        <v>4</v>
      </c>
      <c r="G1612" s="24" t="s">
        <v>180</v>
      </c>
      <c r="H1612" s="24">
        <v>1040</v>
      </c>
      <c r="I1612" s="24">
        <v>1900</v>
      </c>
      <c r="J1612" s="24"/>
      <c r="K1612" s="24"/>
      <c r="L1612" s="24"/>
      <c r="M1612" s="24"/>
      <c r="N1612" s="24"/>
      <c r="O1612" s="24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</row>
    <row r="1613" spans="3:28">
      <c r="C1613" s="2"/>
      <c r="D1613" s="2">
        <f>ROUNDUP(6+F1613/2,0)</f>
        <v>8</v>
      </c>
      <c r="E1613" s="2" t="s">
        <v>6</v>
      </c>
      <c r="F1613" s="24">
        <f>LEN(G1613)</f>
        <v>4</v>
      </c>
      <c r="G1613" s="24" t="s">
        <v>181</v>
      </c>
      <c r="H1613" s="24">
        <v>1100</v>
      </c>
      <c r="I1613" s="24">
        <v>2930</v>
      </c>
      <c r="J1613" s="24"/>
      <c r="K1613" s="24"/>
      <c r="L1613" s="24"/>
      <c r="M1613" s="24"/>
      <c r="N1613" s="24"/>
      <c r="O1613" s="24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</row>
    <row r="1614" spans="3:28">
      <c r="C1614" s="2"/>
      <c r="D1614" s="2">
        <f>ROUNDUP(6+F1614/2,0)</f>
        <v>8</v>
      </c>
      <c r="E1614" s="2" t="s">
        <v>6</v>
      </c>
      <c r="F1614" s="24">
        <f>LEN(G1614)</f>
        <v>4</v>
      </c>
      <c r="G1614" s="24" t="s">
        <v>182</v>
      </c>
      <c r="H1614" s="24">
        <v>1120</v>
      </c>
      <c r="I1614" s="24">
        <v>4020</v>
      </c>
      <c r="J1614" s="24"/>
      <c r="K1614" s="24"/>
      <c r="L1614" s="24"/>
      <c r="M1614" s="24"/>
      <c r="N1614" s="24"/>
      <c r="O1614" s="24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</row>
    <row r="1615" spans="3:28">
      <c r="C1615" s="2"/>
      <c r="D1615" s="2">
        <v>4</v>
      </c>
      <c r="E1615" s="2" t="s">
        <v>15</v>
      </c>
      <c r="F1615" s="24">
        <v>6</v>
      </c>
      <c r="G1615" s="24"/>
      <c r="H1615" s="24"/>
      <c r="I1615" s="24"/>
      <c r="J1615" s="24"/>
      <c r="K1615" s="24"/>
      <c r="L1615" s="24"/>
      <c r="M1615" s="24"/>
      <c r="N1615" s="24"/>
      <c r="O1615" s="24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</row>
    <row r="1616" spans="3:28">
      <c r="C1616" s="2"/>
      <c r="D1616" s="2">
        <f t="shared" ref="D1616:D1626" si="110">ROUNDUP(6+F1616/2,0)</f>
        <v>8</v>
      </c>
      <c r="E1616" s="2" t="s">
        <v>6</v>
      </c>
      <c r="F1616" s="24">
        <f t="shared" ref="F1616:F1626" si="111">LEN(G1616)</f>
        <v>4</v>
      </c>
      <c r="G1616" s="24" t="s">
        <v>184</v>
      </c>
      <c r="H1616" s="24">
        <v>650</v>
      </c>
      <c r="I1616" s="24">
        <v>1340</v>
      </c>
      <c r="J1616" s="24"/>
      <c r="K1616" s="24"/>
      <c r="L1616" s="24"/>
      <c r="M1616" s="24"/>
      <c r="N1616" s="24"/>
      <c r="O1616" s="24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</row>
    <row r="1617" spans="1:28">
      <c r="C1617" s="2"/>
      <c r="D1617" s="2">
        <f t="shared" si="110"/>
        <v>8</v>
      </c>
      <c r="E1617" s="2" t="s">
        <v>6</v>
      </c>
      <c r="F1617" s="24">
        <f t="shared" si="111"/>
        <v>4</v>
      </c>
      <c r="G1617" s="24" t="s">
        <v>185</v>
      </c>
      <c r="H1617" s="24">
        <v>950</v>
      </c>
      <c r="I1617" s="24">
        <v>2250</v>
      </c>
      <c r="J1617" s="24"/>
      <c r="K1617" s="24"/>
      <c r="L1617" s="24"/>
      <c r="M1617" s="24"/>
      <c r="N1617" s="24"/>
      <c r="O1617" s="24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</row>
    <row r="1618" spans="1:28">
      <c r="C1618" s="2"/>
      <c r="D1618" s="2">
        <f t="shared" si="110"/>
        <v>8</v>
      </c>
      <c r="E1618" s="2" t="s">
        <v>6</v>
      </c>
      <c r="F1618" s="24">
        <f t="shared" si="111"/>
        <v>4</v>
      </c>
      <c r="G1618" s="24" t="s">
        <v>186</v>
      </c>
      <c r="H1618" s="24">
        <v>850</v>
      </c>
      <c r="I1618" s="24">
        <v>2600</v>
      </c>
      <c r="J1618" s="24"/>
      <c r="K1618" s="24"/>
      <c r="L1618" s="24"/>
      <c r="M1618" s="36" t="s">
        <v>499</v>
      </c>
      <c r="N1618" s="24"/>
      <c r="O1618" s="24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</row>
    <row r="1619" spans="1:28">
      <c r="C1619" s="2"/>
      <c r="D1619" s="2">
        <f t="shared" si="110"/>
        <v>8</v>
      </c>
      <c r="E1619" s="2" t="s">
        <v>6</v>
      </c>
      <c r="F1619" s="24">
        <f t="shared" si="111"/>
        <v>4</v>
      </c>
      <c r="G1619" s="24" t="s">
        <v>187</v>
      </c>
      <c r="H1619" s="24">
        <v>800</v>
      </c>
      <c r="I1619" s="24">
        <v>2780</v>
      </c>
      <c r="J1619" s="24"/>
      <c r="K1619" s="24"/>
      <c r="L1619" s="24"/>
      <c r="M1619" s="36" t="s">
        <v>28</v>
      </c>
      <c r="N1619" s="36" t="s">
        <v>195</v>
      </c>
      <c r="O1619" s="24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</row>
    <row r="1620" spans="1:28">
      <c r="C1620" s="2"/>
      <c r="D1620" s="2">
        <f t="shared" si="110"/>
        <v>8</v>
      </c>
      <c r="E1620" s="2" t="s">
        <v>6</v>
      </c>
      <c r="F1620" s="24">
        <f t="shared" si="111"/>
        <v>4</v>
      </c>
      <c r="G1620" s="24" t="s">
        <v>190</v>
      </c>
      <c r="H1620" s="24">
        <v>1050</v>
      </c>
      <c r="I1620" s="24">
        <v>3300</v>
      </c>
      <c r="J1620" s="24"/>
      <c r="K1620" s="24"/>
      <c r="L1620" s="36" t="s">
        <v>500</v>
      </c>
      <c r="M1620" s="24">
        <f>-1/4</f>
        <v>-0.25</v>
      </c>
      <c r="N1620" s="24">
        <v>1</v>
      </c>
      <c r="O1620" s="24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</row>
    <row r="1621" spans="1:28">
      <c r="C1621" s="2"/>
      <c r="D1621" s="2">
        <f t="shared" si="110"/>
        <v>8</v>
      </c>
      <c r="E1621" s="2" t="s">
        <v>6</v>
      </c>
      <c r="F1621" s="24">
        <f t="shared" si="111"/>
        <v>4</v>
      </c>
      <c r="G1621" s="24" t="s">
        <v>191</v>
      </c>
      <c r="H1621" s="24">
        <v>960</v>
      </c>
      <c r="I1621" s="24">
        <v>3590</v>
      </c>
      <c r="J1621" s="24"/>
      <c r="K1621" s="24"/>
      <c r="L1621" s="36" t="s">
        <v>501</v>
      </c>
      <c r="M1621" s="24">
        <v>-1</v>
      </c>
      <c r="N1621" s="24">
        <v>3</v>
      </c>
      <c r="O1621" s="24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</row>
    <row r="1622" spans="1:28">
      <c r="C1622" s="2"/>
      <c r="D1622" s="2">
        <f t="shared" si="110"/>
        <v>8</v>
      </c>
      <c r="E1622" s="2" t="s">
        <v>6</v>
      </c>
      <c r="F1622" s="24">
        <f t="shared" si="111"/>
        <v>4</v>
      </c>
      <c r="G1622" s="24" t="s">
        <v>192</v>
      </c>
      <c r="H1622" s="24">
        <v>900</v>
      </c>
      <c r="I1622" s="24">
        <v>3920</v>
      </c>
      <c r="J1622" s="24"/>
      <c r="K1622" s="24"/>
      <c r="L1622" s="36" t="s">
        <v>502</v>
      </c>
      <c r="M1622" s="24">
        <f>(N1620-N1621)/(M1621-M1620)</f>
        <v>2.6666666666666665</v>
      </c>
      <c r="N1622" s="24">
        <f>M1620*M1622+N1620</f>
        <v>0.33333333333333337</v>
      </c>
      <c r="O1622" s="24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</row>
    <row r="1623" spans="1:28">
      <c r="C1623" s="2"/>
      <c r="D1623" s="2">
        <f t="shared" si="110"/>
        <v>8</v>
      </c>
      <c r="E1623" s="2" t="s">
        <v>6</v>
      </c>
      <c r="F1623" s="24">
        <f t="shared" si="111"/>
        <v>4</v>
      </c>
      <c r="G1623" s="24" t="s">
        <v>188</v>
      </c>
      <c r="H1623" s="24">
        <v>1090</v>
      </c>
      <c r="I1623" s="24">
        <v>4330</v>
      </c>
      <c r="J1623" s="24"/>
      <c r="K1623" s="24"/>
      <c r="L1623" s="36" t="s">
        <v>503</v>
      </c>
      <c r="M1623" s="24">
        <f>1000*M1622+200</f>
        <v>2866.6666666666665</v>
      </c>
      <c r="N1623" s="24">
        <f>1400-1000*N1622</f>
        <v>1066.6666666666665</v>
      </c>
      <c r="O1623" s="24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</row>
    <row r="1624" spans="1:28">
      <c r="C1624" s="2"/>
      <c r="D1624" s="2">
        <f t="shared" si="110"/>
        <v>8</v>
      </c>
      <c r="E1624" s="2" t="s">
        <v>6</v>
      </c>
      <c r="F1624" s="24">
        <f t="shared" si="111"/>
        <v>4</v>
      </c>
      <c r="G1624" s="24" t="s">
        <v>189</v>
      </c>
      <c r="H1624" s="24">
        <v>1010</v>
      </c>
      <c r="I1624" s="24">
        <v>4670</v>
      </c>
      <c r="J1624" s="24"/>
      <c r="K1624" s="24"/>
      <c r="L1624" s="24"/>
      <c r="M1624" s="24"/>
      <c r="N1624" s="24"/>
      <c r="O1624" s="24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</row>
    <row r="1625" spans="1:28">
      <c r="C1625" s="2"/>
      <c r="D1625" s="2">
        <f t="shared" si="110"/>
        <v>8</v>
      </c>
      <c r="E1625" s="2" t="s">
        <v>6</v>
      </c>
      <c r="F1625" s="24">
        <f t="shared" si="111"/>
        <v>4</v>
      </c>
      <c r="G1625" s="24" t="s">
        <v>193</v>
      </c>
      <c r="H1625" s="24">
        <v>950</v>
      </c>
      <c r="I1625" s="24">
        <v>4890</v>
      </c>
      <c r="J1625" s="24"/>
      <c r="K1625" s="24"/>
      <c r="L1625" s="24"/>
      <c r="M1625" s="24"/>
      <c r="N1625" s="24"/>
      <c r="O1625" s="24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</row>
    <row r="1626" spans="1:28">
      <c r="C1626" s="2"/>
      <c r="D1626" s="2">
        <f t="shared" si="110"/>
        <v>8</v>
      </c>
      <c r="E1626" s="2" t="s">
        <v>6</v>
      </c>
      <c r="F1626" s="24">
        <f t="shared" si="111"/>
        <v>4</v>
      </c>
      <c r="G1626" s="24" t="s">
        <v>183</v>
      </c>
      <c r="H1626" s="24">
        <v>1200</v>
      </c>
      <c r="I1626" s="24">
        <v>5040</v>
      </c>
      <c r="J1626" s="24"/>
      <c r="K1626" s="24"/>
      <c r="L1626" s="24"/>
      <c r="M1626" s="24"/>
      <c r="N1626" s="24"/>
      <c r="O1626" s="24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</row>
    <row r="1627" spans="1:28">
      <c r="D1627" s="2">
        <v>4</v>
      </c>
      <c r="E1627" s="2" t="s">
        <v>15</v>
      </c>
      <c r="F1627" s="24">
        <v>1</v>
      </c>
    </row>
    <row r="1628" spans="1:28">
      <c r="D1628" s="2">
        <f>F1628*2+4</f>
        <v>8</v>
      </c>
      <c r="E1628" s="2" t="s">
        <v>1</v>
      </c>
      <c r="F1628" s="24">
        <v>2</v>
      </c>
      <c r="G1628" s="24">
        <v>2200</v>
      </c>
      <c r="H1628" s="24">
        <v>900</v>
      </c>
      <c r="I1628" s="24">
        <v>2200</v>
      </c>
      <c r="J1628" s="24">
        <v>1066.6666666666665</v>
      </c>
    </row>
    <row r="1629" spans="1:28">
      <c r="A1629" s="2"/>
      <c r="B1629" s="2"/>
      <c r="C1629" s="2"/>
      <c r="D1629" s="2">
        <f>F1629*2+4</f>
        <v>8</v>
      </c>
      <c r="E1629" s="2" t="s">
        <v>1</v>
      </c>
      <c r="F1629" s="24">
        <v>2</v>
      </c>
      <c r="G1629" s="24">
        <v>1700</v>
      </c>
      <c r="H1629" s="24">
        <v>900</v>
      </c>
      <c r="I1629" s="24">
        <v>1800</v>
      </c>
      <c r="J1629" s="24">
        <v>800</v>
      </c>
      <c r="K1629" s="24"/>
      <c r="L1629" s="24"/>
      <c r="M1629" s="24"/>
      <c r="N1629" s="24"/>
      <c r="O1629" s="24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</row>
    <row r="1630" spans="1:28">
      <c r="A1630" s="2"/>
      <c r="B1630" s="2"/>
      <c r="C1630" s="2"/>
      <c r="D1630" s="2">
        <f>F1630*2+4</f>
        <v>8</v>
      </c>
      <c r="E1630" s="2" t="s">
        <v>1</v>
      </c>
      <c r="F1630" s="24">
        <v>2</v>
      </c>
      <c r="G1630" s="24">
        <f>Q1593</f>
        <v>2600</v>
      </c>
      <c r="H1630" s="24">
        <f>R1593</f>
        <v>1200</v>
      </c>
      <c r="I1630" s="24">
        <v>2866.6666666666665</v>
      </c>
      <c r="J1630" s="24">
        <v>1066.6666666666665</v>
      </c>
      <c r="K1630" s="24"/>
      <c r="L1630" s="24"/>
      <c r="M1630" s="24"/>
      <c r="N1630" s="24"/>
      <c r="O1630" s="24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</row>
    <row r="1631" spans="1:28">
      <c r="A1631" s="2"/>
      <c r="B1631" s="2"/>
      <c r="C1631" s="2"/>
      <c r="D1631" s="2">
        <f>F1631*2+4</f>
        <v>10</v>
      </c>
      <c r="E1631" s="2" t="s">
        <v>1</v>
      </c>
      <c r="F1631" s="24">
        <v>3</v>
      </c>
      <c r="G1631" s="24">
        <v>2866.6666666666665</v>
      </c>
      <c r="H1631" s="24">
        <v>1066.6666666666665</v>
      </c>
      <c r="I1631" s="24">
        <f>S1593</f>
        <v>3200</v>
      </c>
      <c r="J1631" s="24">
        <f>T1593</f>
        <v>1400</v>
      </c>
      <c r="K1631" s="24">
        <v>3400</v>
      </c>
      <c r="L1631" s="24">
        <v>1200</v>
      </c>
      <c r="M1631" s="24"/>
      <c r="N1631" s="24"/>
      <c r="O1631" s="24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</row>
    <row r="1632" spans="1:28">
      <c r="A1632" s="2"/>
      <c r="B1632" s="2"/>
      <c r="C1632" s="2"/>
      <c r="D1632" s="2">
        <v>4</v>
      </c>
      <c r="E1632" s="2" t="s">
        <v>15</v>
      </c>
      <c r="F1632" s="24">
        <v>0</v>
      </c>
      <c r="G1632" s="24"/>
      <c r="H1632" s="24"/>
      <c r="I1632" s="24"/>
      <c r="J1632" s="24"/>
      <c r="K1632" s="24"/>
      <c r="L1632" s="24"/>
      <c r="M1632" s="24"/>
      <c r="N1632" s="24"/>
      <c r="O1632" s="24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</row>
    <row r="1633" spans="1:28">
      <c r="A1633" s="2"/>
      <c r="B1633" s="2"/>
      <c r="C1633" s="2"/>
      <c r="D1633" s="2">
        <v>4</v>
      </c>
      <c r="E1633" s="2" t="s">
        <v>15</v>
      </c>
      <c r="F1633" s="24">
        <v>9</v>
      </c>
      <c r="G1633" s="24"/>
      <c r="H1633" s="24"/>
      <c r="I1633" s="24"/>
      <c r="J1633" s="24"/>
      <c r="K1633" s="24"/>
      <c r="L1633" s="24"/>
      <c r="M1633" s="24"/>
      <c r="N1633" s="24"/>
      <c r="O1633" s="24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</row>
    <row r="1634" spans="1:28">
      <c r="A1634" s="2"/>
      <c r="B1634" s="2"/>
      <c r="C1634" s="2"/>
      <c r="D1634" s="2">
        <v>4</v>
      </c>
      <c r="E1634" s="2" t="s">
        <v>15</v>
      </c>
      <c r="F1634" s="24">
        <v>10</v>
      </c>
      <c r="G1634" s="24"/>
      <c r="H1634" s="24"/>
      <c r="I1634" s="24"/>
      <c r="J1634" s="24"/>
      <c r="K1634" s="24"/>
      <c r="L1634" s="24"/>
      <c r="M1634" s="24"/>
      <c r="N1634" s="24"/>
      <c r="O1634" s="24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</row>
    <row r="1635" spans="1:28">
      <c r="A1635" s="2"/>
      <c r="B1635" s="2"/>
      <c r="C1635" s="2"/>
      <c r="D1635" s="2">
        <v>18</v>
      </c>
      <c r="E1635" s="2" t="s">
        <v>111</v>
      </c>
      <c r="F1635" s="24">
        <v>200</v>
      </c>
      <c r="G1635" s="24">
        <v>165</v>
      </c>
      <c r="H1635" s="24">
        <v>390</v>
      </c>
      <c r="I1635" s="24">
        <f>(J1635-H1635)*3.6</f>
        <v>4176</v>
      </c>
      <c r="J1635" s="24">
        <v>1550</v>
      </c>
      <c r="K1635" s="24"/>
      <c r="L1635" s="24"/>
      <c r="M1635" s="24"/>
      <c r="N1635" s="24"/>
      <c r="O1635" s="24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</row>
    <row r="1636" spans="1:28">
      <c r="A1636" s="2"/>
      <c r="B1636" s="2"/>
      <c r="C1636" s="2"/>
      <c r="D1636" s="2">
        <v>4</v>
      </c>
      <c r="E1636" s="2" t="s">
        <v>15</v>
      </c>
      <c r="F1636" s="24">
        <v>1</v>
      </c>
      <c r="G1636" s="24"/>
      <c r="H1636" s="24"/>
      <c r="I1636" s="24"/>
      <c r="J1636" s="24"/>
      <c r="K1636" s="24"/>
      <c r="L1636" s="24"/>
      <c r="M1636" s="24"/>
      <c r="N1636" s="24"/>
      <c r="O1636" s="24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</row>
    <row r="1637" spans="1:28">
      <c r="A1637" s="2"/>
      <c r="B1637" s="2"/>
      <c r="C1637" s="2"/>
      <c r="D1637" s="2">
        <v>4</v>
      </c>
      <c r="E1637" s="2" t="s">
        <v>15</v>
      </c>
      <c r="F1637" s="24">
        <v>8</v>
      </c>
      <c r="G1637" s="24"/>
      <c r="H1637" s="24"/>
      <c r="I1637" s="24"/>
      <c r="J1637" s="24"/>
      <c r="K1637" s="24"/>
      <c r="L1637" s="24"/>
      <c r="M1637" s="24"/>
      <c r="N1637" s="24"/>
      <c r="O1637" s="24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</row>
    <row r="1638" spans="1:28">
      <c r="A1638" s="2"/>
      <c r="B1638" s="2"/>
      <c r="C1638" s="2">
        <v>180</v>
      </c>
      <c r="D1638" s="2">
        <v>7</v>
      </c>
      <c r="E1638" s="2" t="s">
        <v>0</v>
      </c>
      <c r="F1638" s="24">
        <f>H1645-20</f>
        <v>540</v>
      </c>
      <c r="G1638" s="24">
        <f t="shared" ref="G1638:G1644" si="112">I1645-C1638/3</f>
        <v>940</v>
      </c>
      <c r="H1638" s="24">
        <f>F1638+C1638</f>
        <v>720</v>
      </c>
      <c r="I1638" s="24">
        <f>G1638+C1638</f>
        <v>1120</v>
      </c>
      <c r="J1638" s="24"/>
      <c r="K1638" s="24"/>
      <c r="L1638" s="24"/>
      <c r="M1638" s="24"/>
      <c r="N1638" s="24"/>
      <c r="O1638" s="24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</row>
    <row r="1639" spans="1:28">
      <c r="A1639" s="2"/>
      <c r="B1639" s="2"/>
      <c r="C1639" s="2">
        <v>180</v>
      </c>
      <c r="D1639" s="2">
        <v>7</v>
      </c>
      <c r="E1639" s="2" t="s">
        <v>0</v>
      </c>
      <c r="F1639" s="24">
        <f t="shared" ref="F1639:F1644" si="113">H1646-20</f>
        <v>800</v>
      </c>
      <c r="G1639" s="24">
        <f t="shared" si="112"/>
        <v>1820</v>
      </c>
      <c r="H1639" s="24">
        <f t="shared" ref="H1639:H1644" si="114">F1639+C1639</f>
        <v>980</v>
      </c>
      <c r="I1639" s="24">
        <f t="shared" ref="I1639:I1644" si="115">G1639+C1639</f>
        <v>2000</v>
      </c>
      <c r="J1639" s="24"/>
      <c r="K1639" s="24"/>
      <c r="L1639" s="24"/>
      <c r="M1639" s="24"/>
      <c r="N1639" s="24"/>
      <c r="O1639" s="24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</row>
    <row r="1640" spans="1:28">
      <c r="A1640" s="2"/>
      <c r="B1640" s="2"/>
      <c r="C1640" s="2">
        <v>180</v>
      </c>
      <c r="D1640" s="2">
        <v>7</v>
      </c>
      <c r="E1640" s="2" t="s">
        <v>0</v>
      </c>
      <c r="F1640" s="24">
        <f t="shared" si="113"/>
        <v>990</v>
      </c>
      <c r="G1640" s="24">
        <f t="shared" si="112"/>
        <v>2440</v>
      </c>
      <c r="H1640" s="24">
        <f t="shared" si="114"/>
        <v>1170</v>
      </c>
      <c r="I1640" s="24">
        <f t="shared" si="115"/>
        <v>2620</v>
      </c>
      <c r="J1640" s="24"/>
      <c r="K1640" s="24"/>
      <c r="L1640" s="24"/>
      <c r="M1640" s="24"/>
      <c r="N1640" s="24"/>
      <c r="O1640" s="24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</row>
    <row r="1641" spans="1:28">
      <c r="A1641" s="2"/>
      <c r="B1641" s="2"/>
      <c r="C1641" s="2">
        <v>180</v>
      </c>
      <c r="D1641" s="2">
        <v>7</v>
      </c>
      <c r="E1641" s="2" t="s">
        <v>0</v>
      </c>
      <c r="F1641" s="24">
        <f t="shared" si="113"/>
        <v>1100</v>
      </c>
      <c r="G1641" s="24">
        <f t="shared" si="112"/>
        <v>2670</v>
      </c>
      <c r="H1641" s="24">
        <f t="shared" si="114"/>
        <v>1280</v>
      </c>
      <c r="I1641" s="24">
        <f t="shared" si="115"/>
        <v>2850</v>
      </c>
      <c r="J1641" s="24"/>
      <c r="K1641" s="24"/>
      <c r="L1641" s="24"/>
      <c r="M1641" s="24"/>
      <c r="N1641" s="24"/>
      <c r="O1641" s="24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</row>
    <row r="1642" spans="1:28">
      <c r="A1642" s="2"/>
      <c r="B1642" s="2"/>
      <c r="C1642" s="2">
        <v>180</v>
      </c>
      <c r="D1642" s="2">
        <v>7</v>
      </c>
      <c r="E1642" s="2" t="s">
        <v>0</v>
      </c>
      <c r="F1642" s="24">
        <f t="shared" si="113"/>
        <v>1080</v>
      </c>
      <c r="G1642" s="24">
        <f t="shared" si="112"/>
        <v>3080</v>
      </c>
      <c r="H1642" s="24">
        <f t="shared" si="114"/>
        <v>1260</v>
      </c>
      <c r="I1642" s="24">
        <f t="shared" si="115"/>
        <v>3260</v>
      </c>
      <c r="J1642" s="24"/>
      <c r="K1642" s="24"/>
      <c r="L1642" s="24"/>
      <c r="M1642" s="24"/>
      <c r="N1642" s="24"/>
      <c r="O1642" s="24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</row>
    <row r="1643" spans="1:28">
      <c r="A1643" s="2"/>
      <c r="B1643" s="2"/>
      <c r="C1643" s="2">
        <v>180</v>
      </c>
      <c r="D1643" s="2">
        <v>7</v>
      </c>
      <c r="E1643" s="2" t="s">
        <v>0</v>
      </c>
      <c r="F1643" s="24">
        <f t="shared" si="113"/>
        <v>1190</v>
      </c>
      <c r="G1643" s="24">
        <f t="shared" si="112"/>
        <v>3330</v>
      </c>
      <c r="H1643" s="24">
        <f t="shared" si="114"/>
        <v>1370</v>
      </c>
      <c r="I1643" s="24">
        <f t="shared" si="115"/>
        <v>3510</v>
      </c>
      <c r="J1643" s="24"/>
      <c r="K1643" s="24"/>
      <c r="L1643" s="24"/>
      <c r="M1643" s="24"/>
      <c r="N1643" s="24"/>
      <c r="O1643" s="24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</row>
    <row r="1644" spans="1:28">
      <c r="A1644" s="2"/>
      <c r="B1644" s="2"/>
      <c r="C1644" s="2">
        <v>180</v>
      </c>
      <c r="D1644" s="2">
        <v>7</v>
      </c>
      <c r="E1644" s="2" t="s">
        <v>0</v>
      </c>
      <c r="F1644" s="24">
        <f t="shared" si="113"/>
        <v>1260</v>
      </c>
      <c r="G1644" s="24">
        <f t="shared" si="112"/>
        <v>3730</v>
      </c>
      <c r="H1644" s="24">
        <f t="shared" si="114"/>
        <v>1440</v>
      </c>
      <c r="I1644" s="24">
        <f t="shared" si="115"/>
        <v>3910</v>
      </c>
      <c r="J1644" s="24"/>
      <c r="K1644" s="24"/>
      <c r="L1644" s="24"/>
      <c r="M1644" s="24"/>
      <c r="N1644" s="24"/>
      <c r="O1644" s="24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</row>
    <row r="1645" spans="1:28">
      <c r="A1645" s="2"/>
      <c r="B1645" s="2"/>
      <c r="C1645" s="2"/>
      <c r="D1645" s="2">
        <f t="shared" ref="D1645:D1651" si="116">ROUNDUP(6+F1645/2,0)</f>
        <v>7</v>
      </c>
      <c r="E1645" s="2" t="s">
        <v>6</v>
      </c>
      <c r="F1645" s="24">
        <f t="shared" ref="F1645:F1651" si="117">LEN(G1645)</f>
        <v>1</v>
      </c>
      <c r="G1645" s="24">
        <v>1</v>
      </c>
      <c r="H1645" s="24">
        <v>560</v>
      </c>
      <c r="I1645" s="24">
        <v>1000</v>
      </c>
      <c r="J1645" s="24"/>
      <c r="K1645" s="24"/>
      <c r="L1645" s="24"/>
      <c r="M1645" s="24"/>
      <c r="N1645" s="24"/>
      <c r="O1645" s="24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</row>
    <row r="1646" spans="1:28">
      <c r="A1646" s="2"/>
      <c r="B1646" s="2"/>
      <c r="C1646" s="2"/>
      <c r="D1646" s="2">
        <f t="shared" si="116"/>
        <v>7</v>
      </c>
      <c r="E1646" s="2" t="s">
        <v>6</v>
      </c>
      <c r="F1646" s="24">
        <f t="shared" si="117"/>
        <v>1</v>
      </c>
      <c r="G1646" s="24">
        <f t="shared" ref="G1646:G1651" si="118">G1645+1</f>
        <v>2</v>
      </c>
      <c r="H1646" s="24">
        <v>820</v>
      </c>
      <c r="I1646" s="24">
        <v>1880</v>
      </c>
      <c r="J1646" s="24"/>
      <c r="K1646" s="24"/>
      <c r="L1646" s="24"/>
      <c r="M1646" s="24"/>
      <c r="N1646" s="24"/>
      <c r="O1646" s="24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</row>
    <row r="1647" spans="1:28">
      <c r="A1647" s="2"/>
      <c r="B1647" s="2"/>
      <c r="C1647" s="2"/>
      <c r="D1647" s="2">
        <f t="shared" si="116"/>
        <v>7</v>
      </c>
      <c r="E1647" s="2" t="s">
        <v>6</v>
      </c>
      <c r="F1647" s="24">
        <f t="shared" si="117"/>
        <v>1</v>
      </c>
      <c r="G1647" s="24">
        <f t="shared" si="118"/>
        <v>3</v>
      </c>
      <c r="H1647" s="24">
        <v>1010</v>
      </c>
      <c r="I1647" s="24">
        <v>2500</v>
      </c>
      <c r="J1647" s="24"/>
      <c r="K1647" s="24"/>
      <c r="L1647" s="24"/>
      <c r="M1647" s="24"/>
      <c r="N1647" s="24"/>
      <c r="O1647" s="24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</row>
    <row r="1648" spans="1:28">
      <c r="A1648" s="2"/>
      <c r="B1648" s="2"/>
      <c r="C1648" s="2"/>
      <c r="D1648" s="2">
        <f t="shared" si="116"/>
        <v>7</v>
      </c>
      <c r="E1648" s="2" t="s">
        <v>6</v>
      </c>
      <c r="F1648" s="24">
        <f t="shared" si="117"/>
        <v>1</v>
      </c>
      <c r="G1648" s="24">
        <f t="shared" si="118"/>
        <v>4</v>
      </c>
      <c r="H1648" s="24">
        <v>1120</v>
      </c>
      <c r="I1648" s="24">
        <v>2730</v>
      </c>
      <c r="J1648" s="24"/>
      <c r="K1648" s="24"/>
      <c r="L1648" s="24"/>
      <c r="M1648" s="24"/>
      <c r="N1648" s="24"/>
      <c r="O1648" s="24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</row>
    <row r="1649" spans="1:28">
      <c r="A1649" s="2"/>
      <c r="B1649" s="2"/>
      <c r="C1649" s="2"/>
      <c r="D1649" s="2">
        <f t="shared" si="116"/>
        <v>7</v>
      </c>
      <c r="E1649" s="2" t="s">
        <v>6</v>
      </c>
      <c r="F1649" s="24">
        <f t="shared" si="117"/>
        <v>1</v>
      </c>
      <c r="G1649" s="24">
        <f t="shared" si="118"/>
        <v>5</v>
      </c>
      <c r="H1649" s="24">
        <v>1100</v>
      </c>
      <c r="I1649" s="24">
        <v>3140</v>
      </c>
      <c r="J1649" s="24"/>
      <c r="K1649" s="24"/>
      <c r="L1649" s="24"/>
      <c r="M1649" s="24"/>
      <c r="N1649" s="24"/>
      <c r="O1649" s="24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</row>
    <row r="1650" spans="1:28">
      <c r="A1650" s="2"/>
      <c r="B1650" s="2"/>
      <c r="C1650" s="2"/>
      <c r="D1650" s="2">
        <f t="shared" si="116"/>
        <v>7</v>
      </c>
      <c r="E1650" s="2" t="s">
        <v>6</v>
      </c>
      <c r="F1650" s="24">
        <f t="shared" si="117"/>
        <v>1</v>
      </c>
      <c r="G1650" s="24">
        <f t="shared" si="118"/>
        <v>6</v>
      </c>
      <c r="H1650" s="24">
        <v>1210</v>
      </c>
      <c r="I1650" s="24">
        <v>3390</v>
      </c>
      <c r="J1650" s="24"/>
      <c r="K1650" s="24"/>
      <c r="L1650" s="24"/>
      <c r="M1650" s="24"/>
      <c r="N1650" s="24"/>
      <c r="O1650" s="24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</row>
    <row r="1651" spans="1:28">
      <c r="A1651" s="2"/>
      <c r="B1651" s="2"/>
      <c r="C1651" s="2"/>
      <c r="D1651" s="2">
        <f t="shared" si="116"/>
        <v>7</v>
      </c>
      <c r="E1651" s="2" t="s">
        <v>6</v>
      </c>
      <c r="F1651" s="24">
        <f t="shared" si="117"/>
        <v>1</v>
      </c>
      <c r="G1651" s="24">
        <f t="shared" si="118"/>
        <v>7</v>
      </c>
      <c r="H1651" s="24">
        <v>1280</v>
      </c>
      <c r="I1651" s="24">
        <v>3790</v>
      </c>
      <c r="J1651" s="24"/>
      <c r="K1651" s="24"/>
      <c r="L1651" s="24"/>
      <c r="M1651" s="24"/>
      <c r="N1651" s="24"/>
      <c r="O1651" s="24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</row>
    <row r="1652" spans="1:28">
      <c r="D1652" s="2"/>
      <c r="E1652" s="2"/>
      <c r="F1652" s="24"/>
      <c r="G1652" s="24"/>
      <c r="H1652" s="24"/>
      <c r="I1652" s="24"/>
      <c r="J1652" s="24"/>
    </row>
    <row r="1653" spans="1:28">
      <c r="D1653" s="2"/>
      <c r="E1653" s="2"/>
      <c r="F1653" s="24"/>
      <c r="G1653" s="24"/>
      <c r="H1653" s="24"/>
      <c r="I1653" s="24"/>
      <c r="J1653" s="24"/>
    </row>
    <row r="1654" spans="1:28">
      <c r="A1654" s="48" t="s">
        <v>383</v>
      </c>
      <c r="B1654" s="1" t="s">
        <v>198</v>
      </c>
      <c r="C1654" s="48"/>
      <c r="D1654" s="48" t="s">
        <v>449</v>
      </c>
      <c r="E1654" s="48">
        <v>52695</v>
      </c>
      <c r="F1654" s="6">
        <v>39622</v>
      </c>
      <c r="G1654" s="6">
        <v>0</v>
      </c>
      <c r="H1654" s="6">
        <v>0</v>
      </c>
      <c r="I1654" s="6">
        <v>0</v>
      </c>
      <c r="J1654" s="6">
        <v>12000</v>
      </c>
      <c r="K1654" s="6">
        <v>14752</v>
      </c>
      <c r="L1654" s="6">
        <v>3840</v>
      </c>
      <c r="M1654" s="6">
        <v>0</v>
      </c>
      <c r="N1654" s="6">
        <v>0</v>
      </c>
      <c r="O1654" s="6" t="e">
        <f ca="1">checksummeint(G1654,H1654,I1654,J1654,K1654,L1654,M1654,N1654)</f>
        <v>#NAME?</v>
      </c>
      <c r="P1654" s="49"/>
      <c r="Q1654" s="49"/>
      <c r="R1654" s="48"/>
      <c r="S1654" s="48"/>
      <c r="T1654" s="48"/>
      <c r="U1654" s="48"/>
      <c r="V1654" s="48"/>
    </row>
    <row r="1655" spans="1:28">
      <c r="A1655" s="1"/>
      <c r="C1655" s="48">
        <v>0</v>
      </c>
      <c r="D1655" s="48">
        <v>28</v>
      </c>
      <c r="E1655" s="48" t="s">
        <v>12</v>
      </c>
      <c r="F1655" s="6">
        <v>360</v>
      </c>
      <c r="G1655" s="6">
        <v>0</v>
      </c>
      <c r="H1655" s="6">
        <v>0</v>
      </c>
      <c r="I1655" s="6">
        <v>0</v>
      </c>
      <c r="J1655" s="6">
        <v>400</v>
      </c>
      <c r="K1655" s="6">
        <v>0</v>
      </c>
      <c r="L1655" s="6">
        <v>0</v>
      </c>
      <c r="M1655" s="6">
        <v>0</v>
      </c>
      <c r="N1655" s="6">
        <v>0</v>
      </c>
      <c r="O1655" s="6" t="s">
        <v>19</v>
      </c>
      <c r="P1655" s="49"/>
      <c r="Q1655" s="49"/>
      <c r="R1655" s="48"/>
      <c r="S1655" s="48"/>
      <c r="T1655" s="48"/>
      <c r="U1655" s="48"/>
      <c r="V1655" s="48"/>
    </row>
    <row r="1656" spans="1:28">
      <c r="C1656" s="48"/>
      <c r="D1656" s="48">
        <v>5</v>
      </c>
      <c r="E1656" s="48" t="s">
        <v>59</v>
      </c>
      <c r="F1656" s="6">
        <v>1</v>
      </c>
      <c r="G1656" s="6">
        <v>0</v>
      </c>
      <c r="P1656" s="49"/>
      <c r="Q1656" s="49"/>
      <c r="R1656" s="48"/>
      <c r="S1656" s="48"/>
      <c r="T1656" s="48"/>
      <c r="U1656" s="48"/>
      <c r="V1656" s="48"/>
    </row>
    <row r="1657" spans="1:28">
      <c r="C1657" s="48">
        <v>1</v>
      </c>
      <c r="D1657" s="48">
        <v>8</v>
      </c>
      <c r="E1657" s="48" t="s">
        <v>14</v>
      </c>
      <c r="F1657" s="6">
        <v>0</v>
      </c>
      <c r="G1657" s="6">
        <v>16</v>
      </c>
      <c r="H1657" s="6">
        <v>0</v>
      </c>
      <c r="I1657" s="6">
        <v>0</v>
      </c>
      <c r="J1657" s="6">
        <v>0</v>
      </c>
      <c r="M1657" s="44"/>
      <c r="N1657" s="45"/>
      <c r="O1657" s="46"/>
      <c r="P1657" s="49"/>
      <c r="Q1657" s="49"/>
      <c r="R1657" s="48"/>
      <c r="S1657" s="48"/>
      <c r="T1657" s="48"/>
      <c r="U1657" s="48"/>
      <c r="V1657" s="48"/>
    </row>
    <row r="1658" spans="1:28">
      <c r="C1658" s="48">
        <v>2</v>
      </c>
      <c r="D1658" s="48">
        <v>7</v>
      </c>
      <c r="E1658" s="48" t="s">
        <v>11</v>
      </c>
      <c r="F1658" s="6">
        <v>1</v>
      </c>
      <c r="G1658" s="6">
        <v>0</v>
      </c>
      <c r="H1658" s="6">
        <v>0</v>
      </c>
      <c r="I1658" s="6">
        <v>0</v>
      </c>
      <c r="P1658" s="49"/>
      <c r="Q1658" s="49"/>
      <c r="R1658" s="48"/>
      <c r="S1658" s="48"/>
      <c r="T1658" s="48"/>
      <c r="U1658" s="48"/>
      <c r="V1658" s="48"/>
    </row>
    <row r="1659" spans="1:28">
      <c r="C1659" s="49">
        <v>3</v>
      </c>
      <c r="D1659" s="48">
        <v>8</v>
      </c>
      <c r="E1659" s="48" t="s">
        <v>14</v>
      </c>
      <c r="F1659" s="6">
        <v>0</v>
      </c>
      <c r="G1659" s="6">
        <v>32</v>
      </c>
      <c r="H1659" s="6">
        <v>0</v>
      </c>
      <c r="I1659" s="6">
        <v>0</v>
      </c>
      <c r="J1659" s="6">
        <v>0</v>
      </c>
      <c r="K1659" s="50"/>
      <c r="L1659" s="50"/>
      <c r="M1659" s="50"/>
      <c r="N1659" s="50"/>
      <c r="O1659" s="50"/>
      <c r="P1659" s="49"/>
      <c r="Q1659" s="49"/>
      <c r="R1659" s="48"/>
      <c r="S1659" s="48"/>
      <c r="T1659" s="48"/>
      <c r="U1659" s="48"/>
      <c r="V1659" s="48"/>
    </row>
    <row r="1660" spans="1:28">
      <c r="C1660" s="49"/>
      <c r="D1660" s="49">
        <v>4</v>
      </c>
      <c r="E1660" s="49" t="s">
        <v>15</v>
      </c>
      <c r="F1660" s="50">
        <v>0</v>
      </c>
      <c r="G1660" s="50"/>
      <c r="H1660" s="50"/>
      <c r="I1660" s="50"/>
      <c r="J1660" s="50"/>
      <c r="K1660" s="50"/>
      <c r="L1660" s="50"/>
      <c r="M1660" s="50"/>
      <c r="N1660" s="50"/>
      <c r="O1660" s="50"/>
      <c r="P1660" s="49"/>
      <c r="Q1660" s="49"/>
      <c r="R1660" s="48"/>
      <c r="S1660" s="48"/>
      <c r="T1660" s="48"/>
      <c r="U1660" s="48"/>
      <c r="V1660" s="48"/>
    </row>
    <row r="1661" spans="1:28">
      <c r="C1661" s="49"/>
      <c r="D1661" s="49">
        <v>4</v>
      </c>
      <c r="E1661" s="49" t="s">
        <v>15</v>
      </c>
      <c r="F1661" s="50">
        <v>3</v>
      </c>
      <c r="G1661" s="50"/>
      <c r="H1661" s="50"/>
      <c r="I1661" s="50"/>
      <c r="J1661" s="50"/>
      <c r="K1661" s="50"/>
      <c r="L1661" s="50"/>
      <c r="M1661" s="50"/>
      <c r="N1661" s="50"/>
      <c r="O1661" s="50"/>
      <c r="P1661" s="49"/>
      <c r="Q1661" s="49"/>
      <c r="R1661" s="48"/>
      <c r="S1661" s="48"/>
      <c r="T1661" s="48"/>
      <c r="U1661" s="48"/>
      <c r="V1661" s="48"/>
    </row>
    <row r="1662" spans="1:28">
      <c r="C1662" s="49"/>
      <c r="D1662" s="49">
        <v>4</v>
      </c>
      <c r="E1662" s="49" t="s">
        <v>15</v>
      </c>
      <c r="F1662" s="50">
        <v>2</v>
      </c>
      <c r="G1662" s="50"/>
      <c r="H1662" s="50"/>
      <c r="I1662" s="50"/>
      <c r="J1662" s="50"/>
      <c r="K1662" s="50"/>
      <c r="L1662" s="50"/>
      <c r="M1662" s="50"/>
      <c r="N1662" s="50"/>
      <c r="O1662" s="50"/>
      <c r="P1662" s="49"/>
      <c r="Q1662" s="49"/>
      <c r="R1662" s="48"/>
      <c r="S1662" s="48"/>
      <c r="T1662" s="48"/>
      <c r="U1662" s="48"/>
      <c r="V1662" s="48"/>
    </row>
    <row r="1663" spans="1:28">
      <c r="C1663" s="49"/>
      <c r="D1663" s="49">
        <v>7</v>
      </c>
      <c r="E1663" s="49" t="s">
        <v>5</v>
      </c>
      <c r="F1663" s="50">
        <f>K1654-16</f>
        <v>14736</v>
      </c>
      <c r="G1663" s="50">
        <f>J1654-16</f>
        <v>11984</v>
      </c>
      <c r="H1663" s="50">
        <v>16</v>
      </c>
      <c r="I1663" s="50">
        <v>16</v>
      </c>
      <c r="J1663" s="50"/>
      <c r="K1663" s="50"/>
      <c r="L1663" s="50"/>
      <c r="M1663" s="50"/>
      <c r="N1663" s="50"/>
      <c r="O1663" s="50"/>
      <c r="P1663" s="49"/>
      <c r="Q1663" s="49"/>
      <c r="R1663" s="48"/>
      <c r="S1663" s="48"/>
      <c r="T1663" s="48"/>
      <c r="U1663" s="48"/>
      <c r="V1663" s="48"/>
    </row>
    <row r="1664" spans="1:28">
      <c r="C1664" s="49"/>
      <c r="D1664" s="49">
        <v>4</v>
      </c>
      <c r="E1664" s="49" t="s">
        <v>15</v>
      </c>
      <c r="F1664" s="50">
        <v>1</v>
      </c>
      <c r="G1664" s="50"/>
      <c r="H1664" s="50"/>
      <c r="I1664" s="50"/>
      <c r="J1664" s="50"/>
      <c r="K1664" s="50"/>
      <c r="L1664" s="50"/>
      <c r="M1664" s="50"/>
      <c r="N1664" s="50"/>
      <c r="O1664" s="50"/>
      <c r="P1664" s="49"/>
      <c r="Q1664" s="49"/>
      <c r="R1664" s="48"/>
      <c r="S1664" s="48"/>
      <c r="T1664" s="48"/>
      <c r="U1664" s="48"/>
      <c r="V1664" s="48"/>
    </row>
    <row r="1665" spans="1:27">
      <c r="C1665" s="49"/>
      <c r="D1665" s="49">
        <v>7</v>
      </c>
      <c r="E1665" s="49" t="s">
        <v>5</v>
      </c>
      <c r="F1665" s="50">
        <f>H1665+1024</f>
        <v>1424</v>
      </c>
      <c r="G1665" s="50">
        <f>G1663</f>
        <v>11984</v>
      </c>
      <c r="H1665" s="50">
        <f>H1663+384</f>
        <v>400</v>
      </c>
      <c r="I1665" s="50">
        <f>I1663</f>
        <v>16</v>
      </c>
      <c r="J1665" s="50"/>
      <c r="K1665" s="50"/>
      <c r="L1665" s="50"/>
      <c r="M1665" s="50"/>
      <c r="N1665" s="50"/>
      <c r="O1665" s="50"/>
      <c r="P1665" s="49"/>
      <c r="Q1665" s="49"/>
      <c r="R1665" s="48"/>
      <c r="S1665" s="48"/>
      <c r="T1665" s="48"/>
      <c r="U1665" s="48"/>
      <c r="V1665" s="48"/>
    </row>
    <row r="1666" spans="1:27">
      <c r="C1666" s="49"/>
      <c r="D1666" s="49"/>
      <c r="E1666" s="49" t="s">
        <v>768</v>
      </c>
      <c r="F1666" s="50">
        <v>1</v>
      </c>
      <c r="G1666" s="50">
        <v>0</v>
      </c>
      <c r="H1666" s="50">
        <v>2048</v>
      </c>
      <c r="I1666" s="50">
        <v>6</v>
      </c>
      <c r="J1666" s="50"/>
      <c r="K1666" s="50"/>
      <c r="L1666" s="50"/>
      <c r="M1666" s="50"/>
      <c r="N1666" s="50"/>
      <c r="O1666" s="50"/>
      <c r="P1666" s="49"/>
      <c r="Q1666" s="49"/>
      <c r="R1666" s="48"/>
      <c r="S1666" s="48"/>
      <c r="T1666" s="48"/>
      <c r="U1666" s="48"/>
      <c r="V1666" s="48"/>
    </row>
    <row r="1667" spans="1:27">
      <c r="C1667" s="49" t="s">
        <v>196</v>
      </c>
      <c r="D1667" s="49">
        <v>7</v>
      </c>
      <c r="E1667" s="49" t="s">
        <v>5</v>
      </c>
      <c r="F1667" s="50">
        <f>F1663</f>
        <v>14736</v>
      </c>
      <c r="G1667" s="50">
        <f>I1667+4096</f>
        <v>7168</v>
      </c>
      <c r="H1667" s="50">
        <f>H1663</f>
        <v>16</v>
      </c>
      <c r="I1667" s="50">
        <v>3072</v>
      </c>
      <c r="J1667" s="50"/>
      <c r="K1667" s="50"/>
      <c r="L1667" s="50"/>
      <c r="M1667" s="50"/>
      <c r="N1667" s="50"/>
      <c r="O1667" s="50"/>
      <c r="P1667" s="49"/>
      <c r="Q1667" s="49"/>
      <c r="R1667" s="48"/>
      <c r="S1667" s="48"/>
      <c r="T1667" s="48"/>
      <c r="U1667" s="48"/>
      <c r="V1667" s="48"/>
    </row>
    <row r="1668" spans="1:27">
      <c r="C1668" s="49"/>
      <c r="D1668" s="49"/>
      <c r="E1668" s="50" t="s">
        <v>517</v>
      </c>
      <c r="F1668" s="50" t="s">
        <v>566</v>
      </c>
      <c r="G1668" s="50">
        <f>I1663+64</f>
        <v>80</v>
      </c>
      <c r="H1668" s="50">
        <f>H1663+64</f>
        <v>80</v>
      </c>
      <c r="I1668" s="50">
        <f>H1668+640</f>
        <v>720</v>
      </c>
      <c r="J1668" s="50">
        <f>I1668+1024</f>
        <v>1744</v>
      </c>
      <c r="K1668" s="50">
        <f t="shared" ref="K1668:V1675" si="119">J1668+1024</f>
        <v>2768</v>
      </c>
      <c r="L1668" s="50">
        <f t="shared" si="119"/>
        <v>3792</v>
      </c>
      <c r="M1668" s="50">
        <f t="shared" si="119"/>
        <v>4816</v>
      </c>
      <c r="N1668" s="6">
        <f t="shared" si="119"/>
        <v>5840</v>
      </c>
      <c r="O1668" s="50">
        <f t="shared" si="119"/>
        <v>6864</v>
      </c>
      <c r="P1668" s="50">
        <f t="shared" si="119"/>
        <v>7888</v>
      </c>
      <c r="Q1668" s="50">
        <f t="shared" si="119"/>
        <v>8912</v>
      </c>
      <c r="R1668" s="50">
        <f t="shared" si="119"/>
        <v>9936</v>
      </c>
      <c r="S1668" s="50">
        <f t="shared" si="119"/>
        <v>10960</v>
      </c>
      <c r="T1668" s="50">
        <f t="shared" si="119"/>
        <v>11984</v>
      </c>
      <c r="U1668" s="50">
        <f t="shared" si="119"/>
        <v>13008</v>
      </c>
      <c r="V1668" s="50">
        <f t="shared" si="119"/>
        <v>14032</v>
      </c>
    </row>
    <row r="1669" spans="1:27">
      <c r="C1669" s="49"/>
      <c r="D1669" s="49"/>
      <c r="E1669" s="50" t="s">
        <v>517</v>
      </c>
      <c r="F1669" s="50" t="s">
        <v>567</v>
      </c>
      <c r="G1669" s="50">
        <f>I1667+64</f>
        <v>3136</v>
      </c>
      <c r="H1669" s="50">
        <f>H1668</f>
        <v>80</v>
      </c>
      <c r="I1669" s="50">
        <f>H1669+640</f>
        <v>720</v>
      </c>
      <c r="J1669" s="50">
        <f>I1669+1024</f>
        <v>1744</v>
      </c>
      <c r="K1669" s="50">
        <f t="shared" si="119"/>
        <v>2768</v>
      </c>
      <c r="L1669" s="50">
        <f t="shared" si="119"/>
        <v>3792</v>
      </c>
      <c r="M1669" s="50">
        <f t="shared" si="119"/>
        <v>4816</v>
      </c>
      <c r="N1669" s="6">
        <f t="shared" si="119"/>
        <v>5840</v>
      </c>
      <c r="O1669" s="50">
        <f t="shared" si="119"/>
        <v>6864</v>
      </c>
      <c r="P1669" s="50">
        <f t="shared" si="119"/>
        <v>7888</v>
      </c>
      <c r="Q1669" s="50">
        <f t="shared" si="119"/>
        <v>8912</v>
      </c>
      <c r="R1669" s="50">
        <f t="shared" si="119"/>
        <v>9936</v>
      </c>
      <c r="S1669" s="50">
        <f t="shared" si="119"/>
        <v>10960</v>
      </c>
      <c r="T1669" s="50">
        <f t="shared" si="119"/>
        <v>11984</v>
      </c>
      <c r="U1669" s="50">
        <f t="shared" si="119"/>
        <v>13008</v>
      </c>
      <c r="V1669" s="50">
        <f t="shared" si="119"/>
        <v>14032</v>
      </c>
    </row>
    <row r="1670" spans="1:27">
      <c r="C1670" s="49"/>
      <c r="D1670" s="49">
        <v>7</v>
      </c>
      <c r="E1670" s="49" t="s">
        <v>5</v>
      </c>
      <c r="F1670" s="50">
        <f>F1667</f>
        <v>14736</v>
      </c>
      <c r="G1670" s="50">
        <f>G1667</f>
        <v>7168</v>
      </c>
      <c r="H1670" s="50">
        <f>H1667</f>
        <v>16</v>
      </c>
      <c r="I1670" s="50">
        <v>4608</v>
      </c>
      <c r="J1670" s="50"/>
      <c r="K1670" s="50"/>
      <c r="L1670" s="50"/>
      <c r="M1670" s="50"/>
      <c r="N1670" s="50"/>
      <c r="O1670" s="50"/>
      <c r="P1670" s="49"/>
      <c r="Q1670" s="49"/>
      <c r="R1670" s="48"/>
      <c r="S1670" s="48"/>
      <c r="T1670" s="48"/>
      <c r="U1670" s="48"/>
      <c r="V1670" s="48"/>
    </row>
    <row r="1671" spans="1:27">
      <c r="C1671" s="49"/>
      <c r="D1671" s="49"/>
      <c r="E1671" s="50" t="s">
        <v>517</v>
      </c>
      <c r="F1671" s="50" t="s">
        <v>568</v>
      </c>
      <c r="G1671" s="50">
        <f>I1670+64</f>
        <v>4672</v>
      </c>
      <c r="H1671" s="50">
        <f>H1668</f>
        <v>80</v>
      </c>
      <c r="I1671" s="50">
        <f>H1671+640</f>
        <v>720</v>
      </c>
      <c r="J1671" s="50">
        <f>I1671+1024</f>
        <v>1744</v>
      </c>
      <c r="K1671" s="50">
        <f t="shared" si="119"/>
        <v>2768</v>
      </c>
      <c r="L1671" s="50">
        <f t="shared" si="119"/>
        <v>3792</v>
      </c>
      <c r="M1671" s="50">
        <f t="shared" si="119"/>
        <v>4816</v>
      </c>
      <c r="N1671" s="6">
        <f t="shared" si="119"/>
        <v>5840</v>
      </c>
      <c r="O1671" s="50">
        <f t="shared" si="119"/>
        <v>6864</v>
      </c>
      <c r="P1671" s="50">
        <f t="shared" si="119"/>
        <v>7888</v>
      </c>
      <c r="Q1671" s="50">
        <f t="shared" si="119"/>
        <v>8912</v>
      </c>
      <c r="R1671" s="50">
        <f t="shared" si="119"/>
        <v>9936</v>
      </c>
      <c r="S1671" s="50">
        <f t="shared" si="119"/>
        <v>10960</v>
      </c>
      <c r="T1671" s="50">
        <f t="shared" si="119"/>
        <v>11984</v>
      </c>
      <c r="U1671" s="50">
        <f t="shared" si="119"/>
        <v>13008</v>
      </c>
      <c r="V1671" s="50">
        <f t="shared" si="119"/>
        <v>14032</v>
      </c>
    </row>
    <row r="1672" spans="1:27">
      <c r="C1672" s="49"/>
      <c r="D1672" s="49"/>
      <c r="E1672" s="50" t="s">
        <v>517</v>
      </c>
      <c r="F1672" s="50" t="s">
        <v>569</v>
      </c>
      <c r="G1672" s="50">
        <f>G1671+1024</f>
        <v>5696</v>
      </c>
      <c r="H1672" s="50">
        <f>H1668</f>
        <v>80</v>
      </c>
      <c r="I1672" s="50">
        <f>H1672+640</f>
        <v>720</v>
      </c>
      <c r="J1672" s="50">
        <f>I1672+1024</f>
        <v>1744</v>
      </c>
      <c r="K1672" s="50">
        <f t="shared" si="119"/>
        <v>2768</v>
      </c>
      <c r="L1672" s="50">
        <f t="shared" si="119"/>
        <v>3792</v>
      </c>
      <c r="M1672" s="50">
        <f t="shared" si="119"/>
        <v>4816</v>
      </c>
      <c r="N1672" s="6">
        <f t="shared" si="119"/>
        <v>5840</v>
      </c>
      <c r="O1672" s="50">
        <f t="shared" si="119"/>
        <v>6864</v>
      </c>
      <c r="P1672" s="50">
        <f t="shared" si="119"/>
        <v>7888</v>
      </c>
      <c r="Q1672" s="50">
        <f t="shared" si="119"/>
        <v>8912</v>
      </c>
      <c r="R1672" s="50">
        <f t="shared" si="119"/>
        <v>9936</v>
      </c>
      <c r="S1672" s="50">
        <f t="shared" si="119"/>
        <v>10960</v>
      </c>
      <c r="T1672" s="50">
        <f t="shared" si="119"/>
        <v>11984</v>
      </c>
      <c r="U1672" s="50">
        <f t="shared" si="119"/>
        <v>13008</v>
      </c>
      <c r="V1672" s="50">
        <f t="shared" si="119"/>
        <v>14032</v>
      </c>
    </row>
    <row r="1673" spans="1:27">
      <c r="C1673" s="49"/>
      <c r="D1673" s="49">
        <f>ROUNDUP(6+F1673/2,0)</f>
        <v>9</v>
      </c>
      <c r="E1673" s="49" t="s">
        <v>6</v>
      </c>
      <c r="F1673" s="50">
        <f>LEN(G1673)</f>
        <v>5</v>
      </c>
      <c r="G1673" s="50" t="s">
        <v>197</v>
      </c>
      <c r="H1673" s="50">
        <f>H1668</f>
        <v>80</v>
      </c>
      <c r="I1673" s="33">
        <f>G1672+768</f>
        <v>6464</v>
      </c>
      <c r="J1673" s="50"/>
      <c r="K1673" s="50"/>
      <c r="L1673" s="50"/>
      <c r="M1673" s="50"/>
      <c r="N1673" s="50"/>
      <c r="O1673" s="50"/>
      <c r="P1673" s="49"/>
      <c r="Q1673" s="49"/>
      <c r="R1673" s="48"/>
      <c r="S1673" s="48"/>
      <c r="T1673" s="48"/>
      <c r="U1673" s="48"/>
      <c r="V1673" s="48"/>
    </row>
    <row r="1674" spans="1:27">
      <c r="C1674" s="49"/>
      <c r="D1674" s="49"/>
      <c r="E1674" s="50" t="s">
        <v>517</v>
      </c>
      <c r="F1674" s="40" t="s">
        <v>570</v>
      </c>
      <c r="G1674" s="33">
        <f>G1672+1024</f>
        <v>6720</v>
      </c>
      <c r="H1674" s="50">
        <v>720</v>
      </c>
      <c r="I1674" s="50">
        <v>1744</v>
      </c>
      <c r="J1674" s="50">
        <v>2768</v>
      </c>
      <c r="K1674" s="50">
        <v>3792</v>
      </c>
      <c r="L1674" s="50">
        <v>4816</v>
      </c>
      <c r="M1674" s="50">
        <v>5840</v>
      </c>
      <c r="N1674" s="6">
        <v>6864</v>
      </c>
      <c r="O1674" s="50">
        <v>7888</v>
      </c>
      <c r="P1674" s="50">
        <v>8912</v>
      </c>
      <c r="Q1674" s="50">
        <v>9936</v>
      </c>
      <c r="R1674" s="50">
        <v>10960</v>
      </c>
      <c r="S1674" s="50">
        <v>11984</v>
      </c>
      <c r="T1674" s="50">
        <v>13008</v>
      </c>
      <c r="U1674" s="50">
        <v>14032</v>
      </c>
      <c r="V1674" s="50"/>
    </row>
    <row r="1675" spans="1:27">
      <c r="C1675" s="49"/>
      <c r="D1675" s="49"/>
      <c r="E1675" s="50" t="s">
        <v>517</v>
      </c>
      <c r="F1675" s="50" t="s">
        <v>571</v>
      </c>
      <c r="G1675" s="50">
        <f>G1674+512</f>
        <v>7232</v>
      </c>
      <c r="H1675" s="50">
        <f>H1669</f>
        <v>80</v>
      </c>
      <c r="I1675" s="50">
        <f>H1675+640</f>
        <v>720</v>
      </c>
      <c r="J1675" s="50">
        <f>I1675+1024</f>
        <v>1744</v>
      </c>
      <c r="K1675" s="50">
        <f t="shared" si="119"/>
        <v>2768</v>
      </c>
      <c r="L1675" s="50">
        <f t="shared" si="119"/>
        <v>3792</v>
      </c>
      <c r="M1675" s="50">
        <f t="shared" si="119"/>
        <v>4816</v>
      </c>
      <c r="N1675" s="6">
        <f t="shared" si="119"/>
        <v>5840</v>
      </c>
      <c r="O1675" s="50">
        <f t="shared" si="119"/>
        <v>6864</v>
      </c>
      <c r="P1675" s="50">
        <f t="shared" si="119"/>
        <v>7888</v>
      </c>
      <c r="Q1675" s="50">
        <f t="shared" si="119"/>
        <v>8912</v>
      </c>
      <c r="R1675" s="50">
        <f t="shared" si="119"/>
        <v>9936</v>
      </c>
      <c r="S1675" s="50">
        <f t="shared" si="119"/>
        <v>10960</v>
      </c>
      <c r="T1675" s="50">
        <f t="shared" si="119"/>
        <v>11984</v>
      </c>
      <c r="U1675" s="50">
        <f t="shared" si="119"/>
        <v>13008</v>
      </c>
      <c r="V1675" s="50">
        <f t="shared" si="119"/>
        <v>14032</v>
      </c>
    </row>
    <row r="1678" spans="1:27">
      <c r="A1678" s="48" t="s">
        <v>383</v>
      </c>
      <c r="B1678" s="3" t="s">
        <v>199</v>
      </c>
      <c r="C1678" s="48"/>
      <c r="D1678" s="48" t="s">
        <v>449</v>
      </c>
      <c r="E1678" s="48">
        <v>52695</v>
      </c>
      <c r="F1678" s="6">
        <v>39622</v>
      </c>
      <c r="G1678" s="6">
        <v>0</v>
      </c>
      <c r="H1678" s="6">
        <v>0</v>
      </c>
      <c r="I1678" s="6">
        <v>0</v>
      </c>
      <c r="J1678" s="6">
        <v>11680</v>
      </c>
      <c r="K1678" s="6">
        <v>11680</v>
      </c>
      <c r="L1678" s="6">
        <v>3840</v>
      </c>
      <c r="M1678" s="6">
        <v>0</v>
      </c>
      <c r="N1678" s="6">
        <v>0</v>
      </c>
      <c r="O1678" s="6" t="e">
        <f ca="1">checksummeint(G1678,H1678,I1678,J1678,K1678,L1678,M1678,N1678)</f>
        <v>#NAME?</v>
      </c>
      <c r="P1678" s="49"/>
      <c r="Q1678" s="49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</row>
    <row r="1679" spans="1:27">
      <c r="A1679" s="1"/>
      <c r="C1679" s="48">
        <v>0</v>
      </c>
      <c r="D1679" s="48">
        <v>28</v>
      </c>
      <c r="E1679" s="48" t="s">
        <v>12</v>
      </c>
      <c r="F1679" s="6">
        <v>360</v>
      </c>
      <c r="G1679" s="6">
        <v>0</v>
      </c>
      <c r="H1679" s="6">
        <v>0</v>
      </c>
      <c r="I1679" s="6">
        <v>0</v>
      </c>
      <c r="J1679" s="6">
        <v>400</v>
      </c>
      <c r="K1679" s="6">
        <v>0</v>
      </c>
      <c r="L1679" s="6">
        <v>0</v>
      </c>
      <c r="M1679" s="6">
        <v>0</v>
      </c>
      <c r="N1679" s="6">
        <v>0</v>
      </c>
      <c r="O1679" s="6" t="s">
        <v>19</v>
      </c>
      <c r="P1679" s="49"/>
      <c r="Q1679" s="49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</row>
    <row r="1680" spans="1:27">
      <c r="C1680" s="48"/>
      <c r="D1680" s="48">
        <v>5</v>
      </c>
      <c r="E1680" s="48" t="s">
        <v>59</v>
      </c>
      <c r="F1680" s="6">
        <v>1</v>
      </c>
      <c r="G1680" s="6">
        <v>0</v>
      </c>
      <c r="P1680" s="49"/>
      <c r="Q1680" s="49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</row>
    <row r="1681" spans="3:27">
      <c r="C1681" s="48">
        <v>1</v>
      </c>
      <c r="D1681" s="48">
        <v>8</v>
      </c>
      <c r="E1681" s="48" t="s">
        <v>14</v>
      </c>
      <c r="F1681" s="6">
        <v>0</v>
      </c>
      <c r="G1681" s="6">
        <v>16</v>
      </c>
      <c r="H1681" s="6">
        <v>0</v>
      </c>
      <c r="I1681" s="6">
        <v>0</v>
      </c>
      <c r="J1681" s="6">
        <v>0</v>
      </c>
      <c r="M1681" s="44"/>
      <c r="N1681" s="45"/>
      <c r="O1681" s="46"/>
      <c r="P1681" s="49"/>
      <c r="Q1681" s="49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</row>
    <row r="1682" spans="3:27">
      <c r="C1682" s="48">
        <v>2</v>
      </c>
      <c r="D1682" s="48">
        <v>7</v>
      </c>
      <c r="E1682" s="48" t="s">
        <v>11</v>
      </c>
      <c r="F1682" s="6">
        <v>1</v>
      </c>
      <c r="G1682" s="6">
        <v>0</v>
      </c>
      <c r="H1682" s="6">
        <v>0</v>
      </c>
      <c r="I1682" s="6">
        <v>0</v>
      </c>
      <c r="P1682" s="49"/>
      <c r="Q1682" s="49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</row>
    <row r="1683" spans="3:27">
      <c r="C1683" s="49">
        <v>3</v>
      </c>
      <c r="D1683" s="48">
        <v>8</v>
      </c>
      <c r="E1683" s="48" t="s">
        <v>14</v>
      </c>
      <c r="F1683" s="6">
        <v>0</v>
      </c>
      <c r="G1683" s="6">
        <v>32</v>
      </c>
      <c r="H1683" s="6">
        <v>0</v>
      </c>
      <c r="I1683" s="6">
        <v>0</v>
      </c>
      <c r="J1683" s="6">
        <v>0</v>
      </c>
      <c r="K1683" s="50"/>
      <c r="L1683" s="50"/>
      <c r="M1683" s="50"/>
      <c r="N1683" s="50"/>
      <c r="O1683" s="50"/>
      <c r="P1683" s="49"/>
      <c r="Q1683" s="49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</row>
    <row r="1684" spans="3:27">
      <c r="C1684" s="49"/>
      <c r="D1684" s="49">
        <v>4</v>
      </c>
      <c r="E1684" s="49" t="s">
        <v>15</v>
      </c>
      <c r="F1684" s="50">
        <v>0</v>
      </c>
      <c r="G1684" s="50"/>
      <c r="H1684" s="50"/>
      <c r="I1684" s="50"/>
      <c r="J1684" s="50"/>
      <c r="K1684" s="50"/>
      <c r="L1684" s="50"/>
      <c r="M1684" s="50"/>
      <c r="N1684" s="50"/>
      <c r="O1684" s="50"/>
      <c r="P1684" s="49"/>
      <c r="Q1684" s="49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</row>
    <row r="1685" spans="3:27">
      <c r="C1685" s="49"/>
      <c r="D1685" s="49">
        <v>4</v>
      </c>
      <c r="E1685" s="49" t="s">
        <v>15</v>
      </c>
      <c r="F1685" s="50">
        <v>3</v>
      </c>
      <c r="G1685" s="50"/>
      <c r="H1685" s="50"/>
      <c r="I1685" s="50"/>
      <c r="J1685" s="50"/>
      <c r="K1685" s="50"/>
      <c r="L1685" s="50"/>
      <c r="M1685" s="50"/>
      <c r="N1685" s="50"/>
      <c r="O1685" s="50"/>
      <c r="P1685" s="49"/>
      <c r="Q1685" s="49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</row>
    <row r="1686" spans="3:27">
      <c r="C1686" s="49"/>
      <c r="D1686" s="49">
        <v>4</v>
      </c>
      <c r="E1686" s="49" t="s">
        <v>15</v>
      </c>
      <c r="F1686" s="50">
        <v>2</v>
      </c>
      <c r="G1686" s="50"/>
      <c r="H1686" s="50"/>
      <c r="I1686" s="50"/>
      <c r="J1686" s="50"/>
      <c r="K1686" s="50"/>
      <c r="L1686" s="50"/>
      <c r="M1686" s="50"/>
      <c r="N1686" s="50"/>
      <c r="O1686" s="50"/>
      <c r="P1686" s="49"/>
      <c r="Q1686" s="49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</row>
    <row r="1687" spans="3:27">
      <c r="C1687" s="49"/>
      <c r="D1687" s="49">
        <v>7</v>
      </c>
      <c r="E1687" s="49" t="s">
        <v>5</v>
      </c>
      <c r="F1687" s="50">
        <f>K1678-16</f>
        <v>11664</v>
      </c>
      <c r="G1687" s="50">
        <f>J1678-16</f>
        <v>11664</v>
      </c>
      <c r="H1687" s="50">
        <v>16</v>
      </c>
      <c r="I1687" s="50">
        <v>16</v>
      </c>
      <c r="J1687" s="50"/>
      <c r="K1687" s="50"/>
      <c r="L1687" s="50"/>
      <c r="M1687" s="50"/>
      <c r="N1687" s="50"/>
      <c r="O1687" s="50"/>
      <c r="P1687" s="49"/>
      <c r="Q1687" s="49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</row>
    <row r="1688" spans="3:27">
      <c r="C1688" s="49"/>
      <c r="D1688" s="49">
        <v>4</v>
      </c>
      <c r="E1688" s="49" t="s">
        <v>15</v>
      </c>
      <c r="F1688" s="50">
        <v>1</v>
      </c>
      <c r="G1688" s="50"/>
      <c r="H1688" s="50"/>
      <c r="I1688" s="50"/>
      <c r="J1688" s="50"/>
      <c r="K1688" s="50"/>
      <c r="L1688" s="50"/>
      <c r="M1688" s="50"/>
      <c r="N1688" s="50"/>
      <c r="O1688" s="50"/>
      <c r="P1688" s="49"/>
      <c r="Q1688" s="49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</row>
    <row r="1689" spans="3:27">
      <c r="C1689" s="49"/>
      <c r="D1689" s="49">
        <v>7</v>
      </c>
      <c r="E1689" s="49" t="s">
        <v>5</v>
      </c>
      <c r="F1689" s="50">
        <f>H1689+1024</f>
        <v>1424</v>
      </c>
      <c r="G1689" s="50">
        <f>G1687</f>
        <v>11664</v>
      </c>
      <c r="H1689" s="50">
        <f>H1687+384</f>
        <v>400</v>
      </c>
      <c r="I1689" s="50">
        <f>I1687</f>
        <v>16</v>
      </c>
      <c r="J1689" s="50"/>
      <c r="K1689" s="50"/>
      <c r="L1689" s="50"/>
      <c r="M1689" s="50"/>
      <c r="N1689" s="50"/>
      <c r="O1689" s="50"/>
      <c r="P1689" s="49"/>
      <c r="Q1689" s="49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</row>
    <row r="1690" spans="3:27">
      <c r="C1690" s="49"/>
      <c r="D1690" s="49"/>
      <c r="E1690" s="49" t="s">
        <v>768</v>
      </c>
      <c r="F1690" s="50">
        <v>1</v>
      </c>
      <c r="G1690" s="50">
        <v>0</v>
      </c>
      <c r="H1690" s="50">
        <v>2048</v>
      </c>
      <c r="I1690" s="50">
        <v>5</v>
      </c>
      <c r="J1690" s="50"/>
      <c r="K1690" s="50"/>
      <c r="L1690" s="50"/>
      <c r="M1690" s="50"/>
      <c r="N1690" s="50"/>
      <c r="O1690" s="50"/>
      <c r="P1690" s="49"/>
      <c r="Q1690" s="49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</row>
    <row r="1691" spans="3:27">
      <c r="C1691" s="49" t="s">
        <v>196</v>
      </c>
      <c r="D1691" s="49">
        <v>7</v>
      </c>
      <c r="E1691" s="49" t="s">
        <v>5</v>
      </c>
      <c r="F1691" s="50">
        <f>F1687</f>
        <v>11664</v>
      </c>
      <c r="G1691" s="50">
        <v>9728</v>
      </c>
      <c r="H1691" s="50">
        <f>H1687</f>
        <v>16</v>
      </c>
      <c r="I1691" s="50">
        <v>1536</v>
      </c>
      <c r="J1691" s="50"/>
      <c r="K1691" s="50"/>
      <c r="L1691" s="50"/>
      <c r="M1691" s="50"/>
      <c r="N1691" s="50"/>
      <c r="O1691" s="50"/>
      <c r="P1691" s="49"/>
      <c r="Q1691" s="49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</row>
    <row r="1692" spans="3:27">
      <c r="C1692" s="49"/>
      <c r="D1692" s="49"/>
      <c r="E1692" s="50" t="s">
        <v>517</v>
      </c>
      <c r="F1692" s="50" t="s">
        <v>572</v>
      </c>
      <c r="G1692" s="50">
        <f>I1687+64</f>
        <v>80</v>
      </c>
      <c r="H1692" s="50">
        <f>H1687+64</f>
        <v>80</v>
      </c>
      <c r="I1692" s="50">
        <f>H1692+640</f>
        <v>720</v>
      </c>
      <c r="J1692" s="50">
        <f>I1692+1024</f>
        <v>1744</v>
      </c>
      <c r="K1692" s="50">
        <f>J1692+1024</f>
        <v>2768</v>
      </c>
      <c r="L1692" s="33">
        <f>K1692+896</f>
        <v>3664</v>
      </c>
      <c r="M1692" s="50">
        <f t="shared" ref="M1692:S1693" si="120">L1692+1024</f>
        <v>4688</v>
      </c>
      <c r="N1692" s="50">
        <f t="shared" si="120"/>
        <v>5712</v>
      </c>
      <c r="O1692" s="50">
        <f t="shared" si="120"/>
        <v>6736</v>
      </c>
      <c r="P1692" s="50">
        <f t="shared" si="120"/>
        <v>7760</v>
      </c>
      <c r="Q1692" s="50">
        <f t="shared" si="120"/>
        <v>8784</v>
      </c>
      <c r="R1692" s="50">
        <f t="shared" si="120"/>
        <v>9808</v>
      </c>
      <c r="S1692" s="50">
        <f t="shared" si="120"/>
        <v>10832</v>
      </c>
      <c r="T1692" s="50">
        <f t="shared" ref="T1692:AA1692" si="121">L1692+384</f>
        <v>4048</v>
      </c>
      <c r="U1692" s="50">
        <f t="shared" si="121"/>
        <v>5072</v>
      </c>
      <c r="V1692" s="50">
        <f t="shared" si="121"/>
        <v>6096</v>
      </c>
      <c r="W1692" s="50">
        <f t="shared" si="121"/>
        <v>7120</v>
      </c>
      <c r="X1692" s="50">
        <f t="shared" si="121"/>
        <v>8144</v>
      </c>
      <c r="Y1692" s="50">
        <f t="shared" si="121"/>
        <v>9168</v>
      </c>
      <c r="Z1692" s="50">
        <f t="shared" si="121"/>
        <v>10192</v>
      </c>
      <c r="AA1692" s="50">
        <f t="shared" si="121"/>
        <v>11216</v>
      </c>
    </row>
    <row r="1693" spans="3:27">
      <c r="C1693" s="49"/>
      <c r="D1693" s="49"/>
      <c r="E1693" s="50" t="s">
        <v>517</v>
      </c>
      <c r="F1693" s="50" t="s">
        <v>573</v>
      </c>
      <c r="G1693" s="50">
        <f>I1691+64</f>
        <v>1600</v>
      </c>
      <c r="H1693" s="50">
        <f>H1692</f>
        <v>80</v>
      </c>
      <c r="I1693" s="50">
        <f>I1692</f>
        <v>720</v>
      </c>
      <c r="J1693" s="50">
        <f>I1693+1024</f>
        <v>1744</v>
      </c>
      <c r="K1693" s="50">
        <f>J1693+1024</f>
        <v>2768</v>
      </c>
      <c r="L1693" s="50">
        <f>K1693+1024</f>
        <v>3792</v>
      </c>
      <c r="M1693" s="50">
        <f t="shared" si="120"/>
        <v>4816</v>
      </c>
      <c r="N1693" s="50">
        <f t="shared" si="120"/>
        <v>5840</v>
      </c>
      <c r="O1693" s="50">
        <f t="shared" si="120"/>
        <v>6864</v>
      </c>
      <c r="P1693" s="50">
        <f t="shared" si="120"/>
        <v>7888</v>
      </c>
      <c r="Q1693" s="50">
        <f t="shared" si="120"/>
        <v>8912</v>
      </c>
      <c r="R1693" s="50">
        <f t="shared" si="120"/>
        <v>9936</v>
      </c>
      <c r="S1693" s="50">
        <f t="shared" si="120"/>
        <v>10960</v>
      </c>
      <c r="T1693" s="49"/>
      <c r="U1693" s="49"/>
      <c r="V1693" s="49"/>
      <c r="W1693" s="49"/>
      <c r="X1693" s="49"/>
      <c r="Y1693" s="49"/>
      <c r="Z1693" s="49"/>
      <c r="AA1693" s="49"/>
    </row>
    <row r="1694" spans="3:27">
      <c r="C1694" s="49"/>
      <c r="D1694" s="49">
        <v>7</v>
      </c>
      <c r="E1694" s="49" t="s">
        <v>5</v>
      </c>
      <c r="F1694" s="50">
        <f>F1691</f>
        <v>11664</v>
      </c>
      <c r="G1694" s="50">
        <f>G1691-1536</f>
        <v>8192</v>
      </c>
      <c r="H1694" s="50">
        <f>H1691</f>
        <v>16</v>
      </c>
      <c r="I1694" s="50">
        <f>512+6144</f>
        <v>6656</v>
      </c>
      <c r="J1694" s="50"/>
      <c r="K1694" s="50"/>
      <c r="L1694" s="50"/>
      <c r="M1694" s="50"/>
      <c r="N1694" s="50"/>
      <c r="O1694" s="50"/>
      <c r="P1694" s="49"/>
      <c r="Q1694" s="49"/>
      <c r="R1694" s="49"/>
      <c r="S1694" s="49"/>
      <c r="T1694" s="49"/>
      <c r="U1694" s="49"/>
      <c r="V1694" s="49"/>
      <c r="W1694" s="49"/>
      <c r="X1694" s="49"/>
      <c r="Y1694" s="49"/>
      <c r="Z1694" s="49"/>
      <c r="AA1694" s="49"/>
    </row>
    <row r="1695" spans="3:27">
      <c r="C1695" s="49"/>
      <c r="D1695" s="49"/>
      <c r="E1695" s="50" t="s">
        <v>517</v>
      </c>
      <c r="F1695" s="50" t="s">
        <v>574</v>
      </c>
      <c r="G1695" s="50">
        <f>I1694+64</f>
        <v>6720</v>
      </c>
      <c r="H1695" s="50">
        <f>H1692</f>
        <v>80</v>
      </c>
      <c r="I1695" s="50">
        <f>I1692</f>
        <v>720</v>
      </c>
      <c r="J1695" s="50">
        <f t="shared" ref="J1695:S1697" si="122">I1695+1024</f>
        <v>1744</v>
      </c>
      <c r="K1695" s="50">
        <f t="shared" si="122"/>
        <v>2768</v>
      </c>
      <c r="L1695" s="50">
        <f t="shared" si="122"/>
        <v>3792</v>
      </c>
      <c r="M1695" s="50">
        <f t="shared" si="122"/>
        <v>4816</v>
      </c>
      <c r="N1695" s="50">
        <f t="shared" si="122"/>
        <v>5840</v>
      </c>
      <c r="O1695" s="50">
        <f t="shared" si="122"/>
        <v>6864</v>
      </c>
      <c r="P1695" s="50">
        <f t="shared" si="122"/>
        <v>7888</v>
      </c>
      <c r="Q1695" s="50">
        <f t="shared" si="122"/>
        <v>8912</v>
      </c>
      <c r="R1695" s="50">
        <f t="shared" si="122"/>
        <v>9936</v>
      </c>
      <c r="S1695" s="50">
        <f t="shared" si="122"/>
        <v>10960</v>
      </c>
      <c r="T1695" s="49"/>
      <c r="U1695" s="49"/>
      <c r="V1695" s="49"/>
      <c r="W1695" s="49"/>
      <c r="X1695" s="49"/>
      <c r="Y1695" s="49"/>
      <c r="Z1695" s="49"/>
      <c r="AA1695" s="49"/>
    </row>
    <row r="1696" spans="3:27">
      <c r="C1696" s="49"/>
      <c r="D1696" s="49"/>
      <c r="E1696" s="50" t="s">
        <v>517</v>
      </c>
      <c r="F1696" s="50" t="s">
        <v>575</v>
      </c>
      <c r="G1696" s="50">
        <f>G1695+768</f>
        <v>7488</v>
      </c>
      <c r="H1696" s="50">
        <f>H1692</f>
        <v>80</v>
      </c>
      <c r="I1696" s="50">
        <f>I1693</f>
        <v>720</v>
      </c>
      <c r="J1696" s="50">
        <f t="shared" si="122"/>
        <v>1744</v>
      </c>
      <c r="K1696" s="50">
        <f t="shared" si="122"/>
        <v>2768</v>
      </c>
      <c r="L1696" s="50">
        <f t="shared" si="122"/>
        <v>3792</v>
      </c>
      <c r="M1696" s="50">
        <f t="shared" si="122"/>
        <v>4816</v>
      </c>
      <c r="N1696" s="50">
        <f t="shared" si="122"/>
        <v>5840</v>
      </c>
      <c r="O1696" s="50">
        <f t="shared" si="122"/>
        <v>6864</v>
      </c>
      <c r="P1696" s="50">
        <f t="shared" si="122"/>
        <v>7888</v>
      </c>
      <c r="Q1696" s="50">
        <f t="shared" si="122"/>
        <v>8912</v>
      </c>
      <c r="R1696" s="50">
        <f t="shared" si="122"/>
        <v>9936</v>
      </c>
      <c r="S1696" s="50">
        <f t="shared" si="122"/>
        <v>10960</v>
      </c>
      <c r="T1696" s="49"/>
      <c r="U1696" s="49"/>
      <c r="V1696" s="49"/>
      <c r="W1696" s="49"/>
      <c r="X1696" s="49"/>
      <c r="Y1696" s="49"/>
      <c r="Z1696" s="49"/>
      <c r="AA1696" s="49"/>
    </row>
    <row r="1697" spans="1:29">
      <c r="C1697" s="49"/>
      <c r="D1697" s="49"/>
      <c r="E1697" s="50" t="s">
        <v>517</v>
      </c>
      <c r="F1697" s="50" t="s">
        <v>576</v>
      </c>
      <c r="G1697" s="36">
        <f>G1696+768</f>
        <v>8256</v>
      </c>
      <c r="H1697" s="50">
        <f>H1692</f>
        <v>80</v>
      </c>
      <c r="I1697" s="50">
        <f>I1692</f>
        <v>720</v>
      </c>
      <c r="J1697" s="50">
        <f t="shared" si="122"/>
        <v>1744</v>
      </c>
      <c r="K1697" s="50">
        <f t="shared" si="122"/>
        <v>2768</v>
      </c>
      <c r="L1697" s="50">
        <f t="shared" si="122"/>
        <v>3792</v>
      </c>
      <c r="M1697" s="50">
        <f t="shared" si="122"/>
        <v>4816</v>
      </c>
      <c r="N1697" s="50">
        <f t="shared" si="122"/>
        <v>5840</v>
      </c>
      <c r="O1697" s="50">
        <f t="shared" si="122"/>
        <v>6864</v>
      </c>
      <c r="P1697" s="50">
        <f t="shared" si="122"/>
        <v>7888</v>
      </c>
      <c r="Q1697" s="50">
        <f t="shared" si="122"/>
        <v>8912</v>
      </c>
      <c r="R1697" s="50">
        <f t="shared" si="122"/>
        <v>9936</v>
      </c>
      <c r="S1697" s="50">
        <f t="shared" si="122"/>
        <v>10960</v>
      </c>
      <c r="T1697" s="49"/>
      <c r="U1697" s="49"/>
      <c r="V1697" s="49"/>
      <c r="W1697" s="49"/>
      <c r="X1697" s="49"/>
      <c r="Y1697" s="49"/>
      <c r="Z1697" s="49"/>
      <c r="AA1697" s="49"/>
    </row>
    <row r="1698" spans="1:29">
      <c r="C1698" s="49"/>
      <c r="D1698" s="49"/>
      <c r="E1698" s="50" t="s">
        <v>517</v>
      </c>
      <c r="F1698" s="50" t="s">
        <v>577</v>
      </c>
      <c r="G1698" s="50">
        <f>G1691+64</f>
        <v>9792</v>
      </c>
      <c r="H1698" s="50">
        <f>H1693</f>
        <v>80</v>
      </c>
      <c r="I1698" s="50">
        <f>I1693</f>
        <v>720</v>
      </c>
      <c r="J1698" s="50">
        <f>I1698+1024</f>
        <v>1744</v>
      </c>
      <c r="K1698" s="50">
        <f>J1698+1024</f>
        <v>2768</v>
      </c>
      <c r="L1698" s="50">
        <f>K1698+1024</f>
        <v>3792</v>
      </c>
      <c r="M1698" s="50">
        <f>L1698+1024</f>
        <v>4816</v>
      </c>
      <c r="N1698" s="50">
        <f>M1698+1024</f>
        <v>5840</v>
      </c>
      <c r="O1698" s="33">
        <f>N1698+896</f>
        <v>6736</v>
      </c>
      <c r="P1698" s="33">
        <f>O1698+384</f>
        <v>7120</v>
      </c>
      <c r="Q1698" s="33">
        <f>N1698+2048</f>
        <v>7888</v>
      </c>
      <c r="R1698" s="50">
        <f>Q1698+1024</f>
        <v>8912</v>
      </c>
      <c r="S1698" s="50">
        <f>R1698+1024</f>
        <v>9936</v>
      </c>
      <c r="T1698" s="50">
        <f>S1698+1024</f>
        <v>10960</v>
      </c>
      <c r="U1698" s="49"/>
      <c r="V1698" s="49"/>
      <c r="W1698" s="49"/>
      <c r="X1698" s="49"/>
      <c r="Y1698" s="49"/>
      <c r="Z1698" s="49"/>
      <c r="AA1698" s="49"/>
    </row>
    <row r="1701" spans="1:29">
      <c r="A1701" s="48" t="s">
        <v>383</v>
      </c>
      <c r="B1701" s="1" t="s">
        <v>798</v>
      </c>
      <c r="C1701" s="48"/>
      <c r="D1701" s="48" t="s">
        <v>449</v>
      </c>
      <c r="E1701" s="48">
        <v>52695</v>
      </c>
      <c r="F1701" s="6">
        <v>39622</v>
      </c>
      <c r="G1701" s="6">
        <v>0</v>
      </c>
      <c r="H1701" s="6">
        <v>0</v>
      </c>
      <c r="I1701" s="6">
        <v>0</v>
      </c>
      <c r="J1701" s="6">
        <v>10800</v>
      </c>
      <c r="K1701" s="6">
        <v>8000</v>
      </c>
      <c r="L1701" s="6">
        <v>1920</v>
      </c>
      <c r="M1701" s="6">
        <v>0</v>
      </c>
      <c r="N1701" s="6">
        <v>0</v>
      </c>
      <c r="O1701" s="6" t="e">
        <f ca="1">checksummeint(G1701,H1701,I1701,J1701,K1701,L1701,M1701,N1701)</f>
        <v>#NAME?</v>
      </c>
      <c r="P1701" s="48"/>
      <c r="Q1701" s="48"/>
      <c r="R1701" s="48"/>
      <c r="S1701" s="48"/>
      <c r="T1701" s="49"/>
      <c r="U1701" s="49"/>
      <c r="V1701" s="48"/>
      <c r="W1701" s="48"/>
      <c r="X1701" s="48"/>
      <c r="Y1701" s="48"/>
      <c r="Z1701" s="48"/>
      <c r="AA1701" s="48"/>
      <c r="AB1701" s="49"/>
      <c r="AC1701" s="49"/>
    </row>
    <row r="1702" spans="1:29">
      <c r="A1702" s="1"/>
      <c r="C1702" s="48">
        <v>0</v>
      </c>
      <c r="D1702" s="48">
        <v>28</v>
      </c>
      <c r="E1702" s="48" t="s">
        <v>12</v>
      </c>
      <c r="F1702" s="6">
        <v>360</v>
      </c>
      <c r="G1702" s="6">
        <v>0</v>
      </c>
      <c r="H1702" s="6">
        <v>0</v>
      </c>
      <c r="I1702" s="6">
        <v>0</v>
      </c>
      <c r="J1702" s="6">
        <v>400</v>
      </c>
      <c r="K1702" s="6">
        <v>0</v>
      </c>
      <c r="L1702" s="6">
        <v>0</v>
      </c>
      <c r="M1702" s="6">
        <v>0</v>
      </c>
      <c r="N1702" s="6">
        <v>0</v>
      </c>
      <c r="O1702" s="6" t="s">
        <v>19</v>
      </c>
      <c r="P1702" s="48"/>
      <c r="Q1702" s="48"/>
      <c r="R1702" s="48"/>
      <c r="S1702" s="48"/>
      <c r="T1702" s="49"/>
      <c r="U1702" s="49"/>
      <c r="V1702" s="48"/>
      <c r="W1702" s="48"/>
      <c r="X1702" s="48"/>
      <c r="Y1702" s="48"/>
      <c r="Z1702" s="48"/>
      <c r="AA1702" s="48"/>
      <c r="AB1702" s="49"/>
      <c r="AC1702" s="49"/>
    </row>
    <row r="1703" spans="1:29">
      <c r="C1703" s="48"/>
      <c r="D1703" s="48">
        <v>5</v>
      </c>
      <c r="E1703" s="48" t="s">
        <v>59</v>
      </c>
      <c r="F1703" s="6">
        <v>1</v>
      </c>
      <c r="G1703" s="6">
        <v>0</v>
      </c>
      <c r="P1703" s="48"/>
      <c r="Q1703" s="48"/>
      <c r="R1703" s="48"/>
      <c r="S1703" s="48"/>
      <c r="T1703" s="49"/>
      <c r="U1703" s="49"/>
      <c r="V1703" s="48"/>
      <c r="W1703" s="48"/>
      <c r="X1703" s="48"/>
      <c r="Y1703" s="48"/>
      <c r="Z1703" s="48"/>
      <c r="AA1703" s="48"/>
      <c r="AB1703" s="49"/>
      <c r="AC1703" s="49"/>
    </row>
    <row r="1704" spans="1:29">
      <c r="C1704" s="48">
        <v>1</v>
      </c>
      <c r="D1704" s="48">
        <v>8</v>
      </c>
      <c r="E1704" s="48" t="s">
        <v>14</v>
      </c>
      <c r="F1704" s="6">
        <v>0</v>
      </c>
      <c r="G1704" s="6">
        <v>16</v>
      </c>
      <c r="H1704" s="6">
        <v>0</v>
      </c>
      <c r="I1704" s="6">
        <v>0</v>
      </c>
      <c r="J1704" s="6">
        <v>0</v>
      </c>
      <c r="M1704" s="44"/>
      <c r="N1704" s="45"/>
      <c r="O1704" s="46"/>
      <c r="P1704" s="48"/>
      <c r="Q1704" s="48"/>
      <c r="R1704" s="48"/>
      <c r="S1704" s="48"/>
      <c r="T1704" s="49"/>
      <c r="U1704" s="49"/>
      <c r="V1704" s="48"/>
      <c r="W1704" s="48"/>
      <c r="X1704" s="48"/>
      <c r="Y1704" s="48"/>
      <c r="Z1704" s="48"/>
      <c r="AA1704" s="48"/>
      <c r="AB1704" s="49"/>
      <c r="AC1704" s="49"/>
    </row>
    <row r="1705" spans="1:29">
      <c r="C1705" s="48">
        <v>2</v>
      </c>
      <c r="D1705" s="48">
        <v>7</v>
      </c>
      <c r="E1705" s="48" t="s">
        <v>11</v>
      </c>
      <c r="F1705" s="6">
        <v>0</v>
      </c>
      <c r="G1705" s="50">
        <f>255*256+192</f>
        <v>65472</v>
      </c>
      <c r="H1705" s="50">
        <v>192</v>
      </c>
      <c r="I1705" s="6">
        <v>0</v>
      </c>
      <c r="P1705" s="48"/>
      <c r="Q1705" s="48"/>
      <c r="R1705" s="48"/>
      <c r="S1705" s="48"/>
      <c r="T1705" s="49"/>
      <c r="U1705" s="49"/>
      <c r="V1705" s="48"/>
      <c r="W1705" s="48"/>
      <c r="X1705" s="48"/>
      <c r="Y1705" s="48"/>
      <c r="Z1705" s="48"/>
      <c r="AA1705" s="48"/>
      <c r="AB1705" s="49"/>
      <c r="AC1705" s="49"/>
    </row>
    <row r="1706" spans="1:29">
      <c r="C1706" s="48">
        <v>3</v>
      </c>
      <c r="D1706" s="48">
        <v>7</v>
      </c>
      <c r="E1706" s="48" t="s">
        <v>11</v>
      </c>
      <c r="F1706" s="6">
        <v>0</v>
      </c>
      <c r="G1706" s="6">
        <v>0</v>
      </c>
      <c r="H1706" s="6">
        <v>0</v>
      </c>
      <c r="I1706" s="6">
        <v>0</v>
      </c>
      <c r="P1706" s="48"/>
      <c r="Q1706" s="48"/>
      <c r="R1706" s="48"/>
      <c r="S1706" s="48"/>
      <c r="T1706" s="49"/>
      <c r="U1706" s="49"/>
      <c r="V1706" s="48"/>
      <c r="W1706" s="48"/>
      <c r="X1706" s="48"/>
      <c r="Y1706" s="48"/>
      <c r="Z1706" s="48"/>
      <c r="AA1706" s="48"/>
      <c r="AB1706" s="49"/>
      <c r="AC1706" s="49"/>
    </row>
    <row r="1707" spans="1:29">
      <c r="C1707" s="48">
        <v>4</v>
      </c>
      <c r="D1707" s="48">
        <v>7</v>
      </c>
      <c r="E1707" s="48" t="s">
        <v>11</v>
      </c>
      <c r="F1707" s="6">
        <v>1</v>
      </c>
      <c r="G1707" s="6">
        <v>0</v>
      </c>
      <c r="H1707" s="6">
        <v>0</v>
      </c>
      <c r="I1707" s="6">
        <v>0</v>
      </c>
      <c r="P1707" s="48"/>
      <c r="Q1707" s="48"/>
      <c r="R1707" s="48"/>
      <c r="S1707" s="48"/>
      <c r="T1707" s="49"/>
      <c r="U1707" s="49"/>
      <c r="V1707" s="48"/>
      <c r="W1707" s="48"/>
      <c r="X1707" s="48"/>
      <c r="Y1707" s="48"/>
      <c r="Z1707" s="48"/>
      <c r="AA1707" s="48"/>
      <c r="AB1707" s="49"/>
      <c r="AC1707" s="49"/>
    </row>
    <row r="1708" spans="1:29">
      <c r="C1708" s="48">
        <v>5</v>
      </c>
      <c r="D1708" s="48">
        <v>28</v>
      </c>
      <c r="E1708" s="48" t="s">
        <v>12</v>
      </c>
      <c r="F1708" s="6">
        <v>640</v>
      </c>
      <c r="G1708" s="6">
        <v>0</v>
      </c>
      <c r="H1708" s="6">
        <v>0</v>
      </c>
      <c r="I1708" s="6">
        <v>0</v>
      </c>
      <c r="J1708" s="6">
        <v>400</v>
      </c>
      <c r="K1708" s="6">
        <v>0</v>
      </c>
      <c r="L1708" s="6">
        <v>0</v>
      </c>
      <c r="M1708" s="6">
        <v>0</v>
      </c>
      <c r="N1708" s="6">
        <v>0</v>
      </c>
      <c r="O1708" s="6" t="s">
        <v>200</v>
      </c>
      <c r="P1708" s="48"/>
      <c r="Q1708" s="48"/>
      <c r="R1708" s="48"/>
      <c r="S1708" s="48"/>
      <c r="T1708" s="49"/>
      <c r="U1708" s="49"/>
      <c r="V1708" s="48"/>
      <c r="W1708" s="48"/>
      <c r="X1708" s="50"/>
      <c r="Y1708" s="50"/>
      <c r="Z1708" s="50"/>
      <c r="AA1708" s="50"/>
      <c r="AB1708" s="50"/>
      <c r="AC1708" s="50"/>
    </row>
    <row r="1709" spans="1:29">
      <c r="C1709" s="48">
        <v>6</v>
      </c>
      <c r="D1709" s="48">
        <v>28</v>
      </c>
      <c r="E1709" s="48" t="s">
        <v>12</v>
      </c>
      <c r="F1709" s="6">
        <v>720</v>
      </c>
      <c r="G1709" s="6">
        <v>0</v>
      </c>
      <c r="H1709" s="6">
        <v>0</v>
      </c>
      <c r="I1709" s="6">
        <v>0</v>
      </c>
      <c r="J1709" s="6">
        <v>700</v>
      </c>
      <c r="K1709" s="6">
        <v>0</v>
      </c>
      <c r="L1709" s="6">
        <v>0</v>
      </c>
      <c r="M1709" s="6">
        <v>0</v>
      </c>
      <c r="N1709" s="6">
        <v>0</v>
      </c>
      <c r="O1709" s="6" t="s">
        <v>19</v>
      </c>
      <c r="P1709" s="48"/>
      <c r="Q1709" s="48"/>
      <c r="R1709" s="48"/>
      <c r="S1709" s="48"/>
      <c r="T1709" s="49"/>
      <c r="U1709" s="49"/>
      <c r="V1709" s="48"/>
      <c r="W1709" s="48"/>
      <c r="X1709" s="48"/>
      <c r="Y1709" s="48"/>
      <c r="Z1709" s="48"/>
      <c r="AA1709" s="48"/>
      <c r="AB1709" s="49"/>
      <c r="AC1709" s="49"/>
    </row>
    <row r="1710" spans="1:29">
      <c r="C1710" s="48"/>
      <c r="D1710" s="48">
        <v>4</v>
      </c>
      <c r="E1710" s="48" t="s">
        <v>15</v>
      </c>
      <c r="F1710" s="6">
        <v>0</v>
      </c>
      <c r="G1710" s="50"/>
      <c r="P1710" s="48"/>
      <c r="Q1710" s="48"/>
      <c r="R1710" s="48"/>
      <c r="S1710" s="48"/>
      <c r="T1710" s="49"/>
      <c r="U1710" s="49"/>
      <c r="V1710" s="48"/>
      <c r="W1710" s="48"/>
      <c r="X1710" s="48"/>
      <c r="Y1710" s="48"/>
      <c r="Z1710" s="48"/>
      <c r="AA1710" s="48"/>
      <c r="AB1710" s="49"/>
      <c r="AC1710" s="49"/>
    </row>
    <row r="1711" spans="1:29">
      <c r="C1711" s="48"/>
      <c r="D1711" s="48">
        <v>4</v>
      </c>
      <c r="E1711" s="48" t="s">
        <v>15</v>
      </c>
      <c r="F1711" s="6">
        <v>1</v>
      </c>
      <c r="P1711" s="48"/>
      <c r="Q1711" s="48"/>
      <c r="R1711" s="48"/>
      <c r="S1711" s="48"/>
      <c r="T1711" s="49"/>
      <c r="U1711" s="49"/>
      <c r="V1711" s="48"/>
      <c r="W1711" s="48"/>
      <c r="X1711" s="48"/>
      <c r="Y1711" s="48"/>
      <c r="Z1711" s="48"/>
      <c r="AA1711" s="48"/>
      <c r="AB1711" s="49"/>
      <c r="AC1711" s="49"/>
    </row>
    <row r="1712" spans="1:29">
      <c r="C1712" s="48"/>
      <c r="D1712" s="48"/>
      <c r="E1712" s="6" t="s">
        <v>517</v>
      </c>
      <c r="F1712" s="6" t="s">
        <v>578</v>
      </c>
      <c r="G1712" s="6">
        <f>G1713</f>
        <v>500</v>
      </c>
      <c r="H1712" s="6">
        <v>0</v>
      </c>
      <c r="I1712" s="6">
        <v>300</v>
      </c>
      <c r="J1712" s="6">
        <v>4300</v>
      </c>
      <c r="P1712" s="48"/>
      <c r="Q1712" s="48"/>
      <c r="R1712" s="48"/>
      <c r="S1712" s="48"/>
      <c r="T1712" s="49"/>
      <c r="U1712" s="49"/>
      <c r="V1712" s="48"/>
      <c r="W1712" s="48"/>
      <c r="X1712" s="48"/>
      <c r="Y1712" s="48"/>
      <c r="Z1712" s="48"/>
      <c r="AA1712" s="48"/>
      <c r="AB1712" s="49"/>
      <c r="AC1712" s="49"/>
    </row>
    <row r="1713" spans="3:29">
      <c r="C1713" s="48"/>
      <c r="D1713" s="48"/>
      <c r="E1713" s="48" t="s">
        <v>113</v>
      </c>
      <c r="F1713" s="6">
        <v>200</v>
      </c>
      <c r="G1713" s="50">
        <v>500</v>
      </c>
      <c r="H1713" s="50">
        <v>3500</v>
      </c>
      <c r="I1713" s="50">
        <f>G1713+4000</f>
        <v>4500</v>
      </c>
      <c r="J1713" s="50">
        <f>H1713-2000</f>
        <v>1500</v>
      </c>
      <c r="K1713" s="50" t="s">
        <v>22</v>
      </c>
      <c r="L1713" s="50">
        <v>4</v>
      </c>
      <c r="M1713" s="49">
        <v>0</v>
      </c>
      <c r="N1713" s="49">
        <f>COUNT(S1713:CA1713)</f>
        <v>5</v>
      </c>
      <c r="O1713" s="49">
        <v>0</v>
      </c>
      <c r="P1713" s="49">
        <v>0</v>
      </c>
      <c r="Q1713" s="49">
        <v>3</v>
      </c>
      <c r="R1713" s="49">
        <v>0</v>
      </c>
      <c r="S1713" s="49">
        <v>0</v>
      </c>
      <c r="T1713" s="49">
        <v>0</v>
      </c>
      <c r="U1713" s="48">
        <v>1</v>
      </c>
      <c r="V1713" s="49">
        <v>1</v>
      </c>
      <c r="W1713" s="49">
        <v>4</v>
      </c>
      <c r="X1713" s="48"/>
      <c r="Y1713" s="48"/>
      <c r="Z1713" s="48"/>
      <c r="AA1713" s="48"/>
      <c r="AB1713" s="48"/>
      <c r="AC1713" s="48"/>
    </row>
    <row r="1714" spans="3:29">
      <c r="C1714" s="48"/>
      <c r="D1714" s="48"/>
      <c r="E1714" s="48" t="s">
        <v>448</v>
      </c>
      <c r="G1714" s="50"/>
      <c r="H1714" s="50"/>
      <c r="I1714" s="50"/>
      <c r="J1714" s="50"/>
      <c r="K1714" s="50" t="s">
        <v>21</v>
      </c>
      <c r="L1714" s="50">
        <v>2</v>
      </c>
      <c r="M1714" s="49"/>
      <c r="N1714" s="48"/>
      <c r="O1714" s="49"/>
      <c r="P1714" s="49"/>
      <c r="Q1714" s="50">
        <v>2</v>
      </c>
      <c r="R1714" s="49"/>
      <c r="S1714" s="49">
        <v>0</v>
      </c>
      <c r="T1714" s="49">
        <v>1</v>
      </c>
      <c r="U1714" s="48">
        <v>1</v>
      </c>
      <c r="V1714" s="49">
        <v>2</v>
      </c>
      <c r="W1714" s="49">
        <v>2</v>
      </c>
    </row>
    <row r="1715" spans="3:29">
      <c r="C1715" s="48"/>
      <c r="D1715" s="48"/>
      <c r="E1715" s="48" t="s">
        <v>113</v>
      </c>
      <c r="F1715" s="6">
        <v>200</v>
      </c>
      <c r="G1715" s="50">
        <v>500</v>
      </c>
      <c r="H1715" s="50">
        <v>7500</v>
      </c>
      <c r="I1715" s="50">
        <f>G1715+4000</f>
        <v>4500</v>
      </c>
      <c r="J1715" s="50">
        <f>H1715-2000</f>
        <v>5500</v>
      </c>
      <c r="K1715" s="50" t="s">
        <v>22</v>
      </c>
      <c r="L1715" s="50">
        <v>4</v>
      </c>
      <c r="M1715" s="49"/>
      <c r="N1715" s="49">
        <f>COUNT(S1715:CA1715)</f>
        <v>5</v>
      </c>
      <c r="O1715" s="49"/>
      <c r="P1715" s="49"/>
      <c r="Q1715" s="6">
        <v>3</v>
      </c>
      <c r="R1715" s="49"/>
      <c r="S1715" s="49">
        <v>0</v>
      </c>
      <c r="T1715" s="49">
        <v>0</v>
      </c>
      <c r="U1715" s="48">
        <v>2</v>
      </c>
      <c r="V1715" s="49">
        <v>2</v>
      </c>
      <c r="W1715" s="49">
        <v>4</v>
      </c>
      <c r="X1715" s="49"/>
      <c r="Y1715" s="49"/>
      <c r="Z1715" s="49"/>
      <c r="AA1715" s="49"/>
      <c r="AB1715" s="49"/>
      <c r="AC1715" s="49"/>
    </row>
    <row r="1716" spans="3:29">
      <c r="C1716" s="48"/>
      <c r="D1716" s="48">
        <v>4</v>
      </c>
      <c r="E1716" s="48" t="s">
        <v>15</v>
      </c>
      <c r="F1716" s="6">
        <v>4</v>
      </c>
      <c r="G1716" s="50"/>
      <c r="H1716" s="50"/>
      <c r="I1716" s="50"/>
      <c r="J1716" s="50"/>
      <c r="K1716" s="50" t="s">
        <v>21</v>
      </c>
      <c r="L1716" s="50">
        <v>2</v>
      </c>
      <c r="P1716" s="48"/>
      <c r="Q1716" s="50">
        <v>2</v>
      </c>
      <c r="R1716" s="49"/>
      <c r="S1716" s="49">
        <v>0</v>
      </c>
      <c r="T1716" s="49">
        <v>1</v>
      </c>
      <c r="U1716" s="48">
        <v>1</v>
      </c>
      <c r="V1716" s="49">
        <v>2</v>
      </c>
      <c r="W1716" s="49">
        <v>2</v>
      </c>
      <c r="X1716" s="49"/>
      <c r="Y1716" s="49"/>
      <c r="Z1716" s="49"/>
      <c r="AA1716" s="49"/>
      <c r="AB1716" s="49"/>
      <c r="AC1716" s="49"/>
    </row>
    <row r="1717" spans="3:29">
      <c r="C1717" s="49"/>
      <c r="D1717" s="48">
        <v>4</v>
      </c>
      <c r="E1717" s="48" t="s">
        <v>15</v>
      </c>
      <c r="F1717" s="6">
        <v>5</v>
      </c>
      <c r="G1717" s="50"/>
      <c r="K1717" s="50"/>
      <c r="L1717" s="50"/>
      <c r="M1717" s="50"/>
      <c r="N1717" s="50"/>
      <c r="O1717" s="50"/>
      <c r="P1717" s="49"/>
      <c r="Q1717" s="49"/>
      <c r="R1717" s="49"/>
      <c r="S1717" s="49"/>
      <c r="T1717" s="49"/>
      <c r="U1717" s="49"/>
      <c r="V1717" s="49"/>
      <c r="W1717" s="49"/>
      <c r="X1717" s="49"/>
      <c r="Y1717" s="49"/>
      <c r="Z1717" s="49"/>
      <c r="AA1717" s="49"/>
      <c r="AB1717" s="49"/>
      <c r="AC1717" s="49"/>
    </row>
    <row r="1718" spans="3:29">
      <c r="C1718" s="49"/>
      <c r="D1718" s="49">
        <v>5</v>
      </c>
      <c r="E1718" s="49" t="s">
        <v>9</v>
      </c>
      <c r="F1718" s="50">
        <v>255</v>
      </c>
      <c r="G1718" s="50">
        <v>0</v>
      </c>
      <c r="H1718" s="50"/>
      <c r="I1718" s="50"/>
      <c r="J1718" s="50"/>
      <c r="K1718" s="50"/>
      <c r="L1718" s="50"/>
      <c r="M1718" s="50"/>
      <c r="N1718" s="50"/>
      <c r="O1718" s="50"/>
      <c r="P1718" s="49"/>
      <c r="Q1718" s="49"/>
      <c r="R1718" s="49"/>
      <c r="S1718" s="49"/>
      <c r="T1718" s="49"/>
      <c r="U1718" s="49"/>
      <c r="V1718" s="49"/>
      <c r="W1718" s="49"/>
      <c r="X1718" s="49"/>
      <c r="Y1718" s="49"/>
      <c r="Z1718" s="49"/>
      <c r="AA1718" s="49"/>
      <c r="AB1718" s="49"/>
      <c r="AC1718" s="49"/>
    </row>
    <row r="1719" spans="3:29">
      <c r="C1719" s="49"/>
      <c r="D1719" s="49">
        <v>7</v>
      </c>
      <c r="E1719" s="49" t="s">
        <v>5</v>
      </c>
      <c r="F1719" s="50">
        <f>J1713-200</f>
        <v>1300</v>
      </c>
      <c r="G1719" s="50">
        <f>I1713+400</f>
        <v>4900</v>
      </c>
      <c r="H1719" s="50">
        <f>F1719-800</f>
        <v>500</v>
      </c>
      <c r="I1719" s="50">
        <f>G1719-800</f>
        <v>4100</v>
      </c>
      <c r="J1719" s="50"/>
      <c r="K1719" s="50"/>
      <c r="L1719" s="50"/>
      <c r="M1719" s="50"/>
      <c r="N1719" s="50"/>
      <c r="O1719" s="50"/>
      <c r="P1719" s="49"/>
      <c r="Q1719" s="49"/>
      <c r="R1719" s="49"/>
      <c r="S1719" s="49"/>
      <c r="T1719" s="49"/>
      <c r="U1719" s="49"/>
      <c r="V1719" s="49"/>
      <c r="W1719" s="49"/>
      <c r="X1719" s="49"/>
      <c r="Y1719" s="49"/>
      <c r="Z1719" s="49"/>
      <c r="AA1719" s="49"/>
      <c r="AB1719" s="49"/>
      <c r="AC1719" s="49"/>
    </row>
    <row r="1720" spans="3:29">
      <c r="C1720" s="49"/>
      <c r="D1720" s="49">
        <f>F1720*2+4</f>
        <v>8</v>
      </c>
      <c r="E1720" s="49" t="s">
        <v>1</v>
      </c>
      <c r="F1720" s="50">
        <v>2</v>
      </c>
      <c r="G1720" s="50">
        <f>G1719-400</f>
        <v>4500</v>
      </c>
      <c r="H1720" s="50">
        <f>F1719</f>
        <v>1300</v>
      </c>
      <c r="I1720" s="50">
        <f>G1720</f>
        <v>4500</v>
      </c>
      <c r="J1720" s="50">
        <f>H1719</f>
        <v>500</v>
      </c>
      <c r="K1720" s="50"/>
      <c r="L1720" s="50"/>
      <c r="M1720" s="50"/>
      <c r="N1720" s="50"/>
      <c r="O1720" s="50"/>
      <c r="P1720" s="49"/>
      <c r="Q1720" s="49"/>
      <c r="R1720" s="49"/>
      <c r="S1720" s="49"/>
      <c r="T1720" s="49"/>
      <c r="U1720" s="49"/>
      <c r="V1720" s="49"/>
      <c r="W1720" s="49"/>
      <c r="X1720" s="49"/>
      <c r="Y1720" s="49"/>
      <c r="Z1720" s="49"/>
      <c r="AA1720" s="49"/>
      <c r="AB1720" s="49"/>
      <c r="AC1720" s="49"/>
    </row>
    <row r="1721" spans="3:29">
      <c r="C1721" s="49"/>
      <c r="D1721" s="49">
        <f>F1721*2+4</f>
        <v>8</v>
      </c>
      <c r="E1721" s="49" t="s">
        <v>1</v>
      </c>
      <c r="F1721" s="50">
        <v>2</v>
      </c>
      <c r="G1721" s="50">
        <f>G1719</f>
        <v>4900</v>
      </c>
      <c r="H1721" s="50">
        <f>H1719+400</f>
        <v>900</v>
      </c>
      <c r="I1721" s="50">
        <f>I1719</f>
        <v>4100</v>
      </c>
      <c r="J1721" s="50">
        <f>H1721</f>
        <v>900</v>
      </c>
      <c r="K1721" s="50"/>
      <c r="L1721" s="50"/>
      <c r="M1721" s="50"/>
      <c r="N1721" s="50"/>
      <c r="O1721" s="50"/>
      <c r="P1721" s="49"/>
      <c r="Q1721" s="49"/>
      <c r="R1721" s="49"/>
      <c r="S1721" s="49"/>
      <c r="T1721" s="49"/>
      <c r="U1721" s="49"/>
      <c r="V1721" s="49"/>
      <c r="W1721" s="49"/>
      <c r="X1721" s="49"/>
      <c r="Y1721" s="49"/>
      <c r="Z1721" s="49"/>
      <c r="AA1721" s="49"/>
      <c r="AB1721" s="49"/>
      <c r="AC1721" s="49"/>
    </row>
    <row r="1722" spans="3:29">
      <c r="C1722" s="49"/>
      <c r="D1722" s="49">
        <v>7</v>
      </c>
      <c r="E1722" s="49" t="s">
        <v>5</v>
      </c>
      <c r="F1722" s="50">
        <f>F1719</f>
        <v>1300</v>
      </c>
      <c r="G1722" s="50">
        <f>G1719-1000</f>
        <v>3900</v>
      </c>
      <c r="H1722" s="50">
        <f>F1722-400</f>
        <v>900</v>
      </c>
      <c r="I1722" s="50">
        <f>G1722-800</f>
        <v>3100</v>
      </c>
      <c r="J1722" s="50"/>
      <c r="K1722" s="50"/>
      <c r="L1722" s="50"/>
      <c r="M1722" s="50"/>
      <c r="N1722" s="50"/>
      <c r="O1722" s="50"/>
      <c r="P1722" s="49"/>
      <c r="Q1722" s="49"/>
      <c r="R1722" s="49"/>
      <c r="S1722" s="49"/>
      <c r="T1722" s="49"/>
      <c r="U1722" s="49"/>
      <c r="V1722" s="49"/>
      <c r="W1722" s="49"/>
      <c r="X1722" s="49"/>
      <c r="Y1722" s="49"/>
      <c r="Z1722" s="49"/>
      <c r="AA1722" s="49"/>
      <c r="AB1722" s="49"/>
      <c r="AC1722" s="49"/>
    </row>
    <row r="1723" spans="3:29">
      <c r="C1723" s="49"/>
      <c r="D1723" s="49">
        <v>7</v>
      </c>
      <c r="E1723" s="49" t="s">
        <v>5</v>
      </c>
      <c r="F1723" s="50">
        <f>F1722</f>
        <v>1300</v>
      </c>
      <c r="G1723" s="50">
        <f>G1722-400</f>
        <v>3500</v>
      </c>
      <c r="H1723" s="50">
        <f>F1723-800</f>
        <v>500</v>
      </c>
      <c r="I1723" s="50">
        <f>G1723-400</f>
        <v>3100</v>
      </c>
      <c r="J1723" s="50"/>
      <c r="K1723" s="50"/>
      <c r="L1723" s="50"/>
      <c r="M1723" s="50"/>
      <c r="N1723" s="50"/>
      <c r="O1723" s="50"/>
      <c r="P1723" s="49"/>
      <c r="Q1723" s="49"/>
      <c r="R1723" s="49"/>
      <c r="S1723" s="49"/>
      <c r="T1723" s="49"/>
      <c r="U1723" s="49"/>
      <c r="V1723" s="49"/>
      <c r="W1723" s="49"/>
      <c r="X1723" s="49"/>
      <c r="Y1723" s="49"/>
      <c r="Z1723" s="49"/>
      <c r="AA1723" s="49"/>
      <c r="AB1723" s="49"/>
      <c r="AC1723" s="49"/>
    </row>
    <row r="1724" spans="3:29">
      <c r="C1724" s="49"/>
      <c r="D1724" s="49">
        <v>7</v>
      </c>
      <c r="E1724" s="49" t="s">
        <v>5</v>
      </c>
      <c r="F1724" s="50">
        <f>F1723</f>
        <v>1300</v>
      </c>
      <c r="G1724" s="50">
        <f>G1723-800</f>
        <v>2700</v>
      </c>
      <c r="H1724" s="50">
        <f>F1724-400</f>
        <v>900</v>
      </c>
      <c r="I1724" s="50">
        <f>G1724-400</f>
        <v>2300</v>
      </c>
      <c r="J1724" s="50"/>
      <c r="K1724" s="50"/>
      <c r="L1724" s="50"/>
      <c r="M1724" s="50"/>
      <c r="N1724" s="50"/>
      <c r="O1724" s="50"/>
      <c r="P1724" s="49"/>
      <c r="Q1724" s="49"/>
      <c r="R1724" s="49"/>
      <c r="S1724" s="49"/>
      <c r="T1724" s="49"/>
      <c r="U1724" s="49"/>
      <c r="V1724" s="49"/>
      <c r="W1724" s="49"/>
      <c r="X1724" s="49"/>
      <c r="Y1724" s="49"/>
      <c r="Z1724" s="49"/>
      <c r="AA1724" s="49"/>
      <c r="AB1724" s="49"/>
      <c r="AC1724" s="49"/>
    </row>
    <row r="1725" spans="3:29">
      <c r="C1725" s="49"/>
      <c r="D1725" s="49">
        <v>7</v>
      </c>
      <c r="E1725" s="49" t="s">
        <v>5</v>
      </c>
      <c r="F1725" s="50">
        <f>F1724-400</f>
        <v>900</v>
      </c>
      <c r="G1725" s="50">
        <f>G1724-1000</f>
        <v>1700</v>
      </c>
      <c r="H1725" s="50">
        <f>F1725-400</f>
        <v>500</v>
      </c>
      <c r="I1725" s="50">
        <f>G1725-400</f>
        <v>1300</v>
      </c>
      <c r="J1725" s="50"/>
      <c r="K1725" s="50"/>
      <c r="L1725" s="50"/>
      <c r="M1725" s="50"/>
      <c r="N1725" s="50"/>
      <c r="O1725" s="50"/>
      <c r="P1725" s="49"/>
      <c r="Q1725" s="49"/>
      <c r="R1725" s="49"/>
      <c r="S1725" s="49"/>
      <c r="T1725" s="49"/>
      <c r="U1725" s="49"/>
      <c r="V1725" s="49"/>
      <c r="W1725" s="49"/>
      <c r="X1725" s="49"/>
      <c r="Y1725" s="49"/>
      <c r="Z1725" s="49"/>
      <c r="AA1725" s="49"/>
      <c r="AB1725" s="49"/>
      <c r="AC1725" s="49"/>
    </row>
    <row r="1726" spans="3:29">
      <c r="C1726" s="49"/>
      <c r="D1726" s="49">
        <v>7</v>
      </c>
      <c r="E1726" s="49" t="s">
        <v>5</v>
      </c>
      <c r="F1726" s="50">
        <f>F1725</f>
        <v>900</v>
      </c>
      <c r="G1726" s="50">
        <f>G1725+1000</f>
        <v>2700</v>
      </c>
      <c r="H1726" s="50">
        <f>F1726-400</f>
        <v>500</v>
      </c>
      <c r="I1726" s="50">
        <f>G1726-400</f>
        <v>2300</v>
      </c>
      <c r="J1726" s="50"/>
      <c r="K1726" s="50"/>
      <c r="L1726" s="50"/>
      <c r="M1726" s="50"/>
      <c r="N1726" s="50"/>
      <c r="O1726" s="50"/>
      <c r="P1726" s="49"/>
      <c r="Q1726" s="49"/>
      <c r="R1726" s="49"/>
      <c r="S1726" s="49"/>
      <c r="T1726" s="49"/>
      <c r="U1726" s="49"/>
      <c r="V1726" s="49"/>
      <c r="W1726" s="49"/>
      <c r="X1726" s="49"/>
      <c r="Y1726" s="49"/>
      <c r="Z1726" s="49"/>
      <c r="AA1726" s="49"/>
      <c r="AB1726" s="49"/>
      <c r="AC1726" s="49"/>
    </row>
    <row r="1727" spans="3:29">
      <c r="C1727" s="49"/>
      <c r="D1727" s="48">
        <f t="shared" ref="D1727:D1733" si="123">ROUNDUP(6+F1727/2,0)</f>
        <v>7</v>
      </c>
      <c r="E1727" s="48" t="s">
        <v>6</v>
      </c>
      <c r="F1727" s="6">
        <f t="shared" ref="F1727:F1733" si="124">LEN(G1727)</f>
        <v>2</v>
      </c>
      <c r="G1727" s="41" t="s">
        <v>201</v>
      </c>
      <c r="H1727" s="6">
        <v>320</v>
      </c>
      <c r="I1727" s="6">
        <v>4100</v>
      </c>
      <c r="J1727" s="50"/>
      <c r="K1727" s="50"/>
      <c r="L1727" s="50"/>
      <c r="M1727" s="50"/>
      <c r="N1727" s="50"/>
      <c r="O1727" s="50"/>
      <c r="P1727" s="49"/>
      <c r="Q1727" s="49"/>
      <c r="R1727" s="49"/>
      <c r="S1727" s="49"/>
      <c r="T1727" s="49"/>
      <c r="U1727" s="49"/>
      <c r="V1727" s="49"/>
      <c r="W1727" s="49"/>
      <c r="X1727" s="49"/>
      <c r="Y1727" s="49"/>
      <c r="Z1727" s="49"/>
      <c r="AA1727" s="49"/>
      <c r="AB1727" s="49"/>
      <c r="AC1727" s="49"/>
    </row>
    <row r="1728" spans="3:29">
      <c r="C1728" s="49"/>
      <c r="D1728" s="48">
        <f t="shared" si="123"/>
        <v>7</v>
      </c>
      <c r="E1728" s="48" t="s">
        <v>6</v>
      </c>
      <c r="F1728" s="6">
        <f t="shared" si="124"/>
        <v>2</v>
      </c>
      <c r="G1728" s="41" t="s">
        <v>201</v>
      </c>
      <c r="H1728" s="6">
        <f>H1727+400</f>
        <v>720</v>
      </c>
      <c r="I1728" s="6">
        <f>I1727</f>
        <v>4100</v>
      </c>
      <c r="J1728" s="50"/>
      <c r="K1728" s="50"/>
      <c r="L1728" s="50"/>
      <c r="M1728" s="50"/>
      <c r="N1728" s="50"/>
      <c r="O1728" s="50"/>
      <c r="P1728" s="49"/>
      <c r="Q1728" s="49"/>
      <c r="R1728" s="49"/>
      <c r="S1728" s="49"/>
      <c r="T1728" s="49"/>
      <c r="U1728" s="49"/>
      <c r="V1728" s="49"/>
      <c r="W1728" s="49"/>
      <c r="X1728" s="49"/>
      <c r="Y1728" s="49"/>
      <c r="Z1728" s="49"/>
      <c r="AA1728" s="49"/>
      <c r="AB1728" s="49"/>
      <c r="AC1728" s="49"/>
    </row>
    <row r="1729" spans="3:29">
      <c r="C1729" s="49"/>
      <c r="D1729" s="48">
        <f t="shared" si="123"/>
        <v>7</v>
      </c>
      <c r="E1729" s="48" t="s">
        <v>6</v>
      </c>
      <c r="F1729" s="6">
        <f t="shared" si="124"/>
        <v>1</v>
      </c>
      <c r="G1729" s="41" t="s">
        <v>202</v>
      </c>
      <c r="H1729" s="6">
        <f>H1727</f>
        <v>320</v>
      </c>
      <c r="I1729" s="6">
        <f>I1727-1000</f>
        <v>3100</v>
      </c>
      <c r="J1729" s="50"/>
      <c r="K1729" s="50"/>
      <c r="L1729" s="50"/>
      <c r="M1729" s="50"/>
      <c r="N1729" s="50"/>
      <c r="O1729" s="50"/>
      <c r="P1729" s="49"/>
      <c r="Q1729" s="49"/>
      <c r="R1729" s="49"/>
      <c r="S1729" s="49"/>
      <c r="T1729" s="49"/>
      <c r="U1729" s="49"/>
      <c r="V1729" s="49"/>
      <c r="W1729" s="49"/>
      <c r="X1729" s="49"/>
      <c r="Y1729" s="49"/>
      <c r="Z1729" s="49"/>
      <c r="AA1729" s="49"/>
      <c r="AB1729" s="49"/>
      <c r="AC1729" s="49"/>
    </row>
    <row r="1730" spans="3:29">
      <c r="C1730" s="49"/>
      <c r="D1730" s="48">
        <f t="shared" si="123"/>
        <v>7</v>
      </c>
      <c r="E1730" s="48" t="s">
        <v>6</v>
      </c>
      <c r="F1730" s="6">
        <f t="shared" si="124"/>
        <v>2</v>
      </c>
      <c r="G1730" s="41" t="s">
        <v>201</v>
      </c>
      <c r="H1730" s="6">
        <f>H1729+400</f>
        <v>720</v>
      </c>
      <c r="I1730" s="6">
        <f>I1729</f>
        <v>3100</v>
      </c>
      <c r="J1730" s="50"/>
      <c r="K1730" s="50"/>
      <c r="L1730" s="50"/>
      <c r="M1730" s="50"/>
      <c r="N1730" s="50"/>
      <c r="O1730" s="50"/>
      <c r="P1730" s="49"/>
      <c r="Q1730" s="49"/>
      <c r="R1730" s="49"/>
      <c r="S1730" s="49"/>
      <c r="T1730" s="49"/>
      <c r="U1730" s="49"/>
      <c r="V1730" s="49"/>
      <c r="W1730" s="49"/>
      <c r="X1730" s="49"/>
      <c r="Y1730" s="49"/>
      <c r="Z1730" s="49"/>
      <c r="AA1730" s="49"/>
      <c r="AB1730" s="49"/>
      <c r="AC1730" s="49"/>
    </row>
    <row r="1731" spans="3:29">
      <c r="C1731" s="49"/>
      <c r="D1731" s="48">
        <f t="shared" si="123"/>
        <v>7</v>
      </c>
      <c r="E1731" s="48" t="s">
        <v>6</v>
      </c>
      <c r="F1731" s="6">
        <f t="shared" si="124"/>
        <v>1</v>
      </c>
      <c r="G1731" s="41" t="s">
        <v>202</v>
      </c>
      <c r="H1731" s="6">
        <f>H1729</f>
        <v>320</v>
      </c>
      <c r="I1731" s="6">
        <f>I1729-800</f>
        <v>2300</v>
      </c>
      <c r="J1731" s="50"/>
      <c r="K1731" s="50"/>
      <c r="L1731" s="50"/>
      <c r="M1731" s="50"/>
      <c r="N1731" s="50"/>
      <c r="O1731" s="50"/>
      <c r="P1731" s="49"/>
      <c r="Q1731" s="49"/>
      <c r="R1731" s="49"/>
      <c r="S1731" s="49"/>
      <c r="T1731" s="49"/>
      <c r="U1731" s="49"/>
      <c r="V1731" s="49"/>
      <c r="W1731" s="49"/>
      <c r="X1731" s="49"/>
      <c r="Y1731" s="49"/>
      <c r="Z1731" s="49"/>
      <c r="AA1731" s="49"/>
      <c r="AB1731" s="49"/>
      <c r="AC1731" s="49"/>
    </row>
    <row r="1732" spans="3:29">
      <c r="C1732" s="49"/>
      <c r="D1732" s="48">
        <f t="shared" si="123"/>
        <v>7</v>
      </c>
      <c r="E1732" s="48" t="s">
        <v>6</v>
      </c>
      <c r="F1732" s="6">
        <f t="shared" si="124"/>
        <v>1</v>
      </c>
      <c r="G1732" s="41" t="s">
        <v>202</v>
      </c>
      <c r="H1732" s="6">
        <f>H1731+400</f>
        <v>720</v>
      </c>
      <c r="I1732" s="6">
        <f>I1731</f>
        <v>2300</v>
      </c>
      <c r="J1732" s="50"/>
      <c r="K1732" s="50"/>
      <c r="L1732" s="50"/>
      <c r="M1732" s="50"/>
      <c r="N1732" s="50"/>
      <c r="O1732" s="50"/>
      <c r="P1732" s="49"/>
      <c r="Q1732" s="49"/>
      <c r="R1732" s="49"/>
      <c r="S1732" s="49"/>
      <c r="T1732" s="49"/>
      <c r="U1732" s="49"/>
      <c r="V1732" s="49"/>
      <c r="W1732" s="49"/>
      <c r="X1732" s="49"/>
      <c r="Y1732" s="49"/>
      <c r="Z1732" s="49"/>
      <c r="AA1732" s="49"/>
      <c r="AB1732" s="49"/>
      <c r="AC1732" s="49"/>
    </row>
    <row r="1733" spans="3:29">
      <c r="C1733" s="49"/>
      <c r="D1733" s="48">
        <f t="shared" si="123"/>
        <v>7</v>
      </c>
      <c r="E1733" s="48" t="s">
        <v>6</v>
      </c>
      <c r="F1733" s="6">
        <f t="shared" si="124"/>
        <v>1</v>
      </c>
      <c r="G1733" s="41" t="s">
        <v>202</v>
      </c>
      <c r="H1733" s="6">
        <f>H1731</f>
        <v>320</v>
      </c>
      <c r="I1733" s="6">
        <f>I1731-1000</f>
        <v>1300</v>
      </c>
      <c r="J1733" s="50"/>
      <c r="K1733" s="50"/>
      <c r="L1733" s="50"/>
      <c r="M1733" s="50"/>
      <c r="N1733" s="50"/>
      <c r="O1733" s="50"/>
      <c r="P1733" s="49"/>
      <c r="Q1733" s="49"/>
      <c r="R1733" s="49"/>
      <c r="S1733" s="49"/>
      <c r="T1733" s="49"/>
      <c r="U1733" s="49"/>
      <c r="V1733" s="49"/>
      <c r="W1733" s="49"/>
      <c r="X1733" s="49"/>
      <c r="Y1733" s="49"/>
      <c r="Z1733" s="49"/>
      <c r="AA1733" s="49"/>
      <c r="AB1733" s="49"/>
      <c r="AC1733" s="49"/>
    </row>
    <row r="1734" spans="3:29">
      <c r="C1734" s="49"/>
      <c r="D1734" s="49">
        <v>7</v>
      </c>
      <c r="E1734" s="49" t="s">
        <v>5</v>
      </c>
      <c r="F1734" s="50">
        <f>F1719+4000</f>
        <v>5300</v>
      </c>
      <c r="G1734" s="36">
        <f>G1719</f>
        <v>4900</v>
      </c>
      <c r="H1734" s="50">
        <f>H1719+4000</f>
        <v>4500</v>
      </c>
      <c r="I1734" s="36">
        <f>I1719</f>
        <v>4100</v>
      </c>
      <c r="J1734" s="50"/>
      <c r="K1734" s="50"/>
      <c r="L1734" s="50"/>
      <c r="M1734" s="50"/>
      <c r="N1734" s="50"/>
      <c r="O1734" s="50"/>
      <c r="P1734" s="49"/>
      <c r="Q1734" s="49"/>
      <c r="R1734" s="49"/>
      <c r="S1734" s="49"/>
      <c r="T1734" s="49"/>
      <c r="U1734" s="49"/>
      <c r="V1734" s="49"/>
      <c r="W1734" s="49"/>
      <c r="X1734" s="49"/>
      <c r="Y1734" s="49"/>
      <c r="Z1734" s="49"/>
      <c r="AA1734" s="49"/>
      <c r="AB1734" s="49"/>
      <c r="AC1734" s="49"/>
    </row>
    <row r="1735" spans="3:29">
      <c r="C1735" s="49"/>
      <c r="D1735" s="49">
        <f>F1735*2+4</f>
        <v>8</v>
      </c>
      <c r="E1735" s="49" t="s">
        <v>1</v>
      </c>
      <c r="F1735" s="50">
        <v>2</v>
      </c>
      <c r="G1735" s="36">
        <f t="shared" ref="G1735:I1736" si="125">G1720</f>
        <v>4500</v>
      </c>
      <c r="H1735" s="50">
        <f>H1720+4000</f>
        <v>5300</v>
      </c>
      <c r="I1735" s="36">
        <f t="shared" si="125"/>
        <v>4500</v>
      </c>
      <c r="J1735" s="50">
        <f>J1720+4000</f>
        <v>4500</v>
      </c>
      <c r="K1735" s="50"/>
      <c r="L1735" s="50"/>
      <c r="M1735" s="50"/>
      <c r="N1735" s="50"/>
      <c r="O1735" s="50"/>
      <c r="P1735" s="49"/>
      <c r="Q1735" s="49"/>
      <c r="R1735" s="49"/>
      <c r="S1735" s="49"/>
      <c r="T1735" s="49"/>
      <c r="U1735" s="49"/>
      <c r="V1735" s="49"/>
      <c r="W1735" s="49"/>
      <c r="X1735" s="49"/>
      <c r="Y1735" s="49"/>
      <c r="Z1735" s="49"/>
      <c r="AA1735" s="49"/>
      <c r="AB1735" s="49"/>
      <c r="AC1735" s="49"/>
    </row>
    <row r="1736" spans="3:29">
      <c r="C1736" s="49"/>
      <c r="D1736" s="49">
        <f>F1736*2+4</f>
        <v>8</v>
      </c>
      <c r="E1736" s="49" t="s">
        <v>1</v>
      </c>
      <c r="F1736" s="50">
        <v>2</v>
      </c>
      <c r="G1736" s="36">
        <f t="shared" si="125"/>
        <v>4900</v>
      </c>
      <c r="H1736" s="50">
        <f>H1721+4000</f>
        <v>4900</v>
      </c>
      <c r="I1736" s="36">
        <f t="shared" si="125"/>
        <v>4100</v>
      </c>
      <c r="J1736" s="50">
        <f>J1721+4000</f>
        <v>4900</v>
      </c>
      <c r="K1736" s="50"/>
      <c r="L1736" s="50"/>
      <c r="M1736" s="50"/>
      <c r="N1736" s="50"/>
      <c r="O1736" s="50"/>
      <c r="P1736" s="49"/>
      <c r="Q1736" s="49"/>
      <c r="R1736" s="49"/>
      <c r="S1736" s="49"/>
      <c r="T1736" s="49"/>
      <c r="U1736" s="49"/>
      <c r="V1736" s="49"/>
      <c r="W1736" s="49"/>
      <c r="X1736" s="49"/>
      <c r="Y1736" s="49"/>
      <c r="Z1736" s="49"/>
      <c r="AA1736" s="49"/>
      <c r="AB1736" s="49"/>
      <c r="AC1736" s="49"/>
    </row>
    <row r="1737" spans="3:29">
      <c r="C1737" s="49"/>
      <c r="D1737" s="49">
        <v>7</v>
      </c>
      <c r="E1737" s="49" t="s">
        <v>5</v>
      </c>
      <c r="F1737" s="50">
        <f>F1734</f>
        <v>5300</v>
      </c>
      <c r="G1737" s="50">
        <f>G1734-1000</f>
        <v>3900</v>
      </c>
      <c r="H1737" s="50">
        <f>F1737-400</f>
        <v>4900</v>
      </c>
      <c r="I1737" s="50">
        <f>G1737-800</f>
        <v>3100</v>
      </c>
      <c r="J1737" s="50"/>
      <c r="K1737" s="50"/>
      <c r="L1737" s="50"/>
      <c r="M1737" s="50"/>
      <c r="N1737" s="50"/>
      <c r="O1737" s="50"/>
      <c r="P1737" s="49"/>
      <c r="Q1737" s="49"/>
      <c r="R1737" s="49"/>
      <c r="S1737" s="49"/>
      <c r="T1737" s="49"/>
      <c r="U1737" s="49"/>
      <c r="V1737" s="49"/>
      <c r="W1737" s="49"/>
      <c r="X1737" s="49"/>
      <c r="Y1737" s="49"/>
      <c r="Z1737" s="49"/>
      <c r="AA1737" s="49"/>
      <c r="AB1737" s="49"/>
      <c r="AC1737" s="49"/>
    </row>
    <row r="1738" spans="3:29">
      <c r="C1738" s="49"/>
      <c r="D1738" s="49">
        <v>7</v>
      </c>
      <c r="E1738" s="49" t="s">
        <v>5</v>
      </c>
      <c r="F1738" s="50">
        <f>F1737</f>
        <v>5300</v>
      </c>
      <c r="G1738" s="50">
        <f>G1737-400</f>
        <v>3500</v>
      </c>
      <c r="H1738" s="50">
        <f>F1738-800</f>
        <v>4500</v>
      </c>
      <c r="I1738" s="50">
        <f>G1738-400</f>
        <v>3100</v>
      </c>
      <c r="J1738" s="50"/>
      <c r="K1738" s="50"/>
      <c r="L1738" s="50"/>
      <c r="M1738" s="50"/>
      <c r="N1738" s="50"/>
      <c r="O1738" s="50"/>
      <c r="P1738" s="49"/>
      <c r="Q1738" s="49"/>
      <c r="R1738" s="49"/>
      <c r="S1738" s="49"/>
      <c r="T1738" s="49"/>
      <c r="U1738" s="49"/>
      <c r="V1738" s="49"/>
      <c r="W1738" s="49"/>
      <c r="X1738" s="49"/>
      <c r="Y1738" s="49"/>
      <c r="Z1738" s="49"/>
      <c r="AA1738" s="49"/>
      <c r="AB1738" s="49"/>
      <c r="AC1738" s="49"/>
    </row>
    <row r="1739" spans="3:29">
      <c r="C1739" s="49"/>
      <c r="D1739" s="49">
        <v>7</v>
      </c>
      <c r="E1739" s="49" t="s">
        <v>5</v>
      </c>
      <c r="F1739" s="50">
        <f>F1738</f>
        <v>5300</v>
      </c>
      <c r="G1739" s="50">
        <f>G1738-1000</f>
        <v>2500</v>
      </c>
      <c r="H1739" s="50">
        <f>F1739-400</f>
        <v>4900</v>
      </c>
      <c r="I1739" s="50">
        <f>G1739-400</f>
        <v>2100</v>
      </c>
      <c r="J1739" s="50"/>
      <c r="K1739" s="50"/>
      <c r="L1739" s="50"/>
      <c r="M1739" s="50"/>
      <c r="N1739" s="50"/>
      <c r="O1739" s="50"/>
      <c r="P1739" s="49"/>
      <c r="Q1739" s="49"/>
      <c r="R1739" s="49"/>
      <c r="S1739" s="49"/>
      <c r="T1739" s="49"/>
      <c r="U1739" s="49"/>
      <c r="V1739" s="49"/>
      <c r="W1739" s="49"/>
      <c r="X1739" s="49"/>
      <c r="Y1739" s="49"/>
      <c r="Z1739" s="49"/>
      <c r="AA1739" s="49"/>
      <c r="AB1739" s="49"/>
      <c r="AC1739" s="49"/>
    </row>
    <row r="1740" spans="3:29">
      <c r="C1740" s="49"/>
      <c r="D1740" s="49">
        <v>7</v>
      </c>
      <c r="E1740" s="49" t="s">
        <v>5</v>
      </c>
      <c r="F1740" s="50">
        <v>5300</v>
      </c>
      <c r="G1740" s="50">
        <v>2900</v>
      </c>
      <c r="H1740" s="50">
        <f>F1740-400</f>
        <v>4900</v>
      </c>
      <c r="I1740" s="50">
        <f>G1740-400</f>
        <v>2500</v>
      </c>
      <c r="J1740" s="50"/>
      <c r="K1740" s="50"/>
      <c r="L1740" s="50"/>
      <c r="M1740" s="50"/>
      <c r="N1740" s="50"/>
      <c r="O1740" s="50"/>
      <c r="P1740" s="49"/>
      <c r="Q1740" s="49"/>
      <c r="R1740" s="49"/>
      <c r="S1740" s="49"/>
      <c r="T1740" s="49"/>
      <c r="U1740" s="49"/>
      <c r="V1740" s="49"/>
      <c r="W1740" s="49"/>
      <c r="X1740" s="49"/>
      <c r="Y1740" s="49"/>
      <c r="Z1740" s="49"/>
      <c r="AA1740" s="49"/>
      <c r="AB1740" s="49"/>
      <c r="AC1740" s="49"/>
    </row>
    <row r="1741" spans="3:29">
      <c r="C1741" s="49"/>
      <c r="D1741" s="49">
        <v>7</v>
      </c>
      <c r="E1741" s="49" t="s">
        <v>5</v>
      </c>
      <c r="F1741" s="50">
        <v>5300</v>
      </c>
      <c r="G1741" s="50">
        <v>1700</v>
      </c>
      <c r="H1741" s="50">
        <f>F1741-400</f>
        <v>4900</v>
      </c>
      <c r="I1741" s="50">
        <f>G1741-400</f>
        <v>1300</v>
      </c>
      <c r="J1741" s="50"/>
      <c r="K1741" s="50"/>
      <c r="L1741" s="50"/>
      <c r="M1741" s="50"/>
      <c r="N1741" s="50"/>
      <c r="O1741" s="50"/>
      <c r="P1741" s="49"/>
      <c r="Q1741" s="49"/>
      <c r="R1741" s="49"/>
      <c r="S1741" s="49"/>
      <c r="T1741" s="49"/>
      <c r="U1741" s="49"/>
      <c r="V1741" s="49"/>
      <c r="W1741" s="49"/>
      <c r="X1741" s="49"/>
      <c r="Y1741" s="49"/>
      <c r="Z1741" s="49"/>
      <c r="AA1741" s="49"/>
      <c r="AB1741" s="49"/>
      <c r="AC1741" s="49"/>
    </row>
    <row r="1742" spans="3:29">
      <c r="C1742" s="49"/>
      <c r="D1742" s="48">
        <f t="shared" ref="D1742:D1747" si="126">ROUNDUP(6+F1742/2,0)</f>
        <v>7</v>
      </c>
      <c r="E1742" s="48" t="s">
        <v>6</v>
      </c>
      <c r="F1742" s="6">
        <f t="shared" ref="F1742:F1747" si="127">LEN(G1742)</f>
        <v>2</v>
      </c>
      <c r="G1742" s="41" t="s">
        <v>201</v>
      </c>
      <c r="H1742" s="6">
        <v>4320</v>
      </c>
      <c r="I1742" s="6">
        <v>4100</v>
      </c>
      <c r="J1742" s="50"/>
      <c r="K1742" s="50"/>
      <c r="L1742" s="50"/>
      <c r="M1742" s="50"/>
      <c r="N1742" s="50"/>
      <c r="O1742" s="50"/>
      <c r="P1742" s="49"/>
      <c r="Q1742" s="49"/>
      <c r="R1742" s="49"/>
      <c r="S1742" s="49"/>
      <c r="T1742" s="49"/>
      <c r="U1742" s="49"/>
      <c r="V1742" s="49"/>
      <c r="W1742" s="49"/>
      <c r="X1742" s="49"/>
      <c r="Y1742" s="49"/>
      <c r="Z1742" s="49"/>
      <c r="AA1742" s="49"/>
      <c r="AB1742" s="49"/>
      <c r="AC1742" s="49"/>
    </row>
    <row r="1743" spans="3:29">
      <c r="C1743" s="49"/>
      <c r="D1743" s="48">
        <f t="shared" si="126"/>
        <v>7</v>
      </c>
      <c r="E1743" s="48" t="s">
        <v>6</v>
      </c>
      <c r="F1743" s="6">
        <f t="shared" si="127"/>
        <v>2</v>
      </c>
      <c r="G1743" s="41" t="s">
        <v>201</v>
      </c>
      <c r="H1743" s="6">
        <f>H1742+400</f>
        <v>4720</v>
      </c>
      <c r="I1743" s="6">
        <f>I1742</f>
        <v>4100</v>
      </c>
      <c r="J1743" s="50"/>
      <c r="K1743" s="50"/>
      <c r="L1743" s="50"/>
      <c r="M1743" s="50"/>
      <c r="N1743" s="50"/>
      <c r="O1743" s="50"/>
      <c r="P1743" s="49"/>
      <c r="Q1743" s="49"/>
      <c r="R1743" s="49"/>
      <c r="S1743" s="49"/>
      <c r="T1743" s="49"/>
      <c r="U1743" s="49"/>
      <c r="V1743" s="49"/>
      <c r="W1743" s="49"/>
      <c r="X1743" s="49"/>
      <c r="Y1743" s="49"/>
      <c r="Z1743" s="49"/>
      <c r="AA1743" s="49"/>
      <c r="AB1743" s="49"/>
      <c r="AC1743" s="49"/>
    </row>
    <row r="1744" spans="3:29">
      <c r="C1744" s="49"/>
      <c r="D1744" s="48">
        <f t="shared" si="126"/>
        <v>7</v>
      </c>
      <c r="E1744" s="48" t="s">
        <v>6</v>
      </c>
      <c r="F1744" s="6">
        <f t="shared" si="127"/>
        <v>1</v>
      </c>
      <c r="G1744" s="41" t="s">
        <v>202</v>
      </c>
      <c r="H1744" s="6">
        <f>H1742</f>
        <v>4320</v>
      </c>
      <c r="I1744" s="6">
        <f>I1742-1000</f>
        <v>3100</v>
      </c>
      <c r="J1744" s="50"/>
      <c r="K1744" s="50"/>
      <c r="L1744" s="50"/>
      <c r="M1744" s="50"/>
      <c r="N1744" s="50"/>
      <c r="O1744" s="50"/>
      <c r="P1744" s="49"/>
      <c r="Q1744" s="49"/>
      <c r="R1744" s="49"/>
      <c r="S1744" s="49"/>
      <c r="T1744" s="49"/>
      <c r="U1744" s="49"/>
      <c r="V1744" s="49"/>
      <c r="W1744" s="49"/>
      <c r="X1744" s="49"/>
      <c r="Y1744" s="49"/>
      <c r="Z1744" s="49"/>
      <c r="AA1744" s="49"/>
      <c r="AB1744" s="49"/>
      <c r="AC1744" s="49"/>
    </row>
    <row r="1745" spans="3:29">
      <c r="C1745" s="49"/>
      <c r="D1745" s="48">
        <f t="shared" si="126"/>
        <v>7</v>
      </c>
      <c r="E1745" s="48" t="s">
        <v>6</v>
      </c>
      <c r="F1745" s="6">
        <f t="shared" si="127"/>
        <v>2</v>
      </c>
      <c r="G1745" s="41" t="s">
        <v>201</v>
      </c>
      <c r="H1745" s="6">
        <f>H1744+400</f>
        <v>4720</v>
      </c>
      <c r="I1745" s="6">
        <f>I1744</f>
        <v>3100</v>
      </c>
      <c r="J1745" s="50"/>
      <c r="K1745" s="50"/>
      <c r="L1745" s="50"/>
      <c r="M1745" s="50"/>
      <c r="N1745" s="50"/>
      <c r="O1745" s="50"/>
      <c r="P1745" s="49"/>
      <c r="Q1745" s="49"/>
      <c r="R1745" s="49"/>
      <c r="S1745" s="49"/>
      <c r="T1745" s="49"/>
      <c r="U1745" s="49"/>
      <c r="V1745" s="49"/>
      <c r="W1745" s="49"/>
      <c r="X1745" s="49"/>
      <c r="Y1745" s="49"/>
      <c r="Z1745" s="49"/>
      <c r="AA1745" s="49"/>
      <c r="AB1745" s="49"/>
      <c r="AC1745" s="49"/>
    </row>
    <row r="1746" spans="3:29">
      <c r="C1746" s="3"/>
      <c r="D1746" s="48">
        <f t="shared" si="126"/>
        <v>7</v>
      </c>
      <c r="E1746" s="48" t="s">
        <v>6</v>
      </c>
      <c r="F1746" s="6">
        <f t="shared" si="127"/>
        <v>2</v>
      </c>
      <c r="G1746" s="41" t="s">
        <v>201</v>
      </c>
      <c r="H1746" s="6">
        <f>H1745</f>
        <v>4720</v>
      </c>
      <c r="I1746" s="6">
        <f>I1744-1000</f>
        <v>2100</v>
      </c>
      <c r="J1746" s="50"/>
      <c r="K1746" s="50"/>
      <c r="L1746" s="50"/>
      <c r="M1746" s="50"/>
      <c r="N1746" s="50"/>
      <c r="O1746" s="50"/>
      <c r="P1746" s="49"/>
      <c r="Q1746" s="49"/>
      <c r="R1746" s="49"/>
      <c r="S1746" s="49"/>
      <c r="T1746" s="49"/>
      <c r="U1746" s="49"/>
      <c r="V1746" s="49"/>
      <c r="W1746" s="49"/>
      <c r="X1746" s="49"/>
      <c r="Y1746" s="49"/>
      <c r="Z1746" s="49"/>
      <c r="AA1746" s="49"/>
      <c r="AB1746" s="49"/>
      <c r="AC1746" s="49"/>
    </row>
    <row r="1747" spans="3:29">
      <c r="C1747" s="49"/>
      <c r="D1747" s="48">
        <f t="shared" si="126"/>
        <v>7</v>
      </c>
      <c r="E1747" s="48" t="s">
        <v>6</v>
      </c>
      <c r="F1747" s="6">
        <f t="shared" si="127"/>
        <v>1</v>
      </c>
      <c r="G1747" s="41" t="s">
        <v>202</v>
      </c>
      <c r="H1747" s="6">
        <f>H1743</f>
        <v>4720</v>
      </c>
      <c r="I1747" s="6">
        <f>I1746-800</f>
        <v>1300</v>
      </c>
      <c r="J1747" s="50"/>
      <c r="K1747" s="50"/>
      <c r="L1747" s="50"/>
      <c r="M1747" s="50"/>
      <c r="N1747" s="50"/>
      <c r="O1747" s="50"/>
      <c r="P1747" s="49"/>
      <c r="Q1747" s="49"/>
      <c r="R1747" s="49"/>
      <c r="S1747" s="49"/>
      <c r="T1747" s="49"/>
      <c r="U1747" s="49"/>
      <c r="V1747" s="49"/>
      <c r="W1747" s="49"/>
      <c r="X1747" s="49"/>
      <c r="Y1747" s="49"/>
      <c r="Z1747" s="49"/>
      <c r="AA1747" s="49"/>
      <c r="AB1747" s="49"/>
      <c r="AC1747" s="49"/>
    </row>
    <row r="1748" spans="3:29">
      <c r="C1748" s="49"/>
      <c r="D1748" s="49">
        <v>7</v>
      </c>
      <c r="E1748" s="49" t="s">
        <v>5</v>
      </c>
      <c r="F1748" s="50">
        <v>4500</v>
      </c>
      <c r="G1748" s="50">
        <v>6500</v>
      </c>
      <c r="H1748" s="50">
        <f>F1748-800</f>
        <v>3700</v>
      </c>
      <c r="I1748" s="50">
        <f>G1748-800</f>
        <v>5700</v>
      </c>
      <c r="J1748" s="50"/>
      <c r="K1748" s="50"/>
      <c r="L1748" s="50"/>
      <c r="M1748" s="50"/>
      <c r="N1748" s="50"/>
      <c r="O1748" s="50"/>
      <c r="P1748" s="49"/>
      <c r="Q1748" s="49"/>
      <c r="R1748" s="49"/>
      <c r="S1748" s="49"/>
      <c r="T1748" s="49"/>
      <c r="U1748" s="49"/>
      <c r="V1748" s="49"/>
      <c r="W1748" s="49"/>
      <c r="X1748" s="49"/>
      <c r="Y1748" s="49"/>
      <c r="Z1748" s="49"/>
      <c r="AA1748" s="49"/>
      <c r="AB1748" s="49"/>
      <c r="AC1748" s="49"/>
    </row>
    <row r="1749" spans="3:29">
      <c r="C1749" s="49"/>
      <c r="D1749" s="49">
        <f>F1749*2+4</f>
        <v>8</v>
      </c>
      <c r="E1749" s="49" t="s">
        <v>1</v>
      </c>
      <c r="F1749" s="50">
        <v>2</v>
      </c>
      <c r="G1749" s="50">
        <f>G1748-400</f>
        <v>6100</v>
      </c>
      <c r="H1749" s="50">
        <f>F1748</f>
        <v>4500</v>
      </c>
      <c r="I1749" s="50">
        <f>G1749</f>
        <v>6100</v>
      </c>
      <c r="J1749" s="50">
        <f>H1748</f>
        <v>3700</v>
      </c>
      <c r="K1749" s="50"/>
      <c r="L1749" s="50"/>
      <c r="M1749" s="50"/>
      <c r="N1749" s="50"/>
      <c r="O1749" s="50"/>
      <c r="P1749" s="49"/>
      <c r="Q1749" s="49"/>
      <c r="R1749" s="49"/>
      <c r="S1749" s="49"/>
      <c r="T1749" s="49"/>
      <c r="U1749" s="49"/>
      <c r="V1749" s="49"/>
      <c r="W1749" s="49"/>
      <c r="X1749" s="49"/>
      <c r="Y1749" s="49"/>
      <c r="Z1749" s="49"/>
      <c r="AA1749" s="49"/>
      <c r="AB1749" s="49"/>
      <c r="AC1749" s="49"/>
    </row>
    <row r="1750" spans="3:29">
      <c r="C1750" s="49"/>
      <c r="D1750" s="49">
        <f>F1750*2+4</f>
        <v>8</v>
      </c>
      <c r="E1750" s="49" t="s">
        <v>1</v>
      </c>
      <c r="F1750" s="50">
        <v>2</v>
      </c>
      <c r="G1750" s="50">
        <f>G1748</f>
        <v>6500</v>
      </c>
      <c r="H1750" s="50">
        <f>H1748+400</f>
        <v>4100</v>
      </c>
      <c r="I1750" s="50">
        <f>I1748</f>
        <v>5700</v>
      </c>
      <c r="J1750" s="50">
        <f>H1750</f>
        <v>4100</v>
      </c>
      <c r="K1750" s="50"/>
      <c r="L1750" s="50"/>
      <c r="M1750" s="50"/>
      <c r="N1750" s="50"/>
      <c r="O1750" s="50"/>
      <c r="P1750" s="49"/>
      <c r="Q1750" s="49"/>
      <c r="R1750" s="49"/>
      <c r="S1750" s="49"/>
      <c r="T1750" s="49"/>
      <c r="U1750" s="49"/>
      <c r="V1750" s="49"/>
      <c r="W1750" s="49"/>
      <c r="X1750" s="49"/>
      <c r="Y1750" s="49"/>
      <c r="Z1750" s="49"/>
      <c r="AA1750" s="49"/>
      <c r="AB1750" s="49"/>
      <c r="AC1750" s="49"/>
    </row>
    <row r="1751" spans="3:29">
      <c r="C1751" s="49"/>
      <c r="D1751" s="48">
        <f>ROUNDUP(6+F1751/2,0)</f>
        <v>7</v>
      </c>
      <c r="E1751" s="48" t="s">
        <v>6</v>
      </c>
      <c r="F1751" s="6">
        <f>LEN(G1751)</f>
        <v>2</v>
      </c>
      <c r="G1751" s="41" t="s">
        <v>201</v>
      </c>
      <c r="H1751" s="6">
        <f>H1748-180</f>
        <v>3520</v>
      </c>
      <c r="I1751" s="6">
        <f>I1748</f>
        <v>5700</v>
      </c>
      <c r="J1751" s="50"/>
      <c r="K1751" s="50"/>
      <c r="L1751" s="50"/>
      <c r="M1751" s="50"/>
      <c r="N1751" s="50"/>
      <c r="O1751" s="50"/>
      <c r="P1751" s="49"/>
      <c r="Q1751" s="49"/>
      <c r="R1751" s="49"/>
      <c r="S1751" s="49"/>
      <c r="T1751" s="49"/>
      <c r="U1751" s="49"/>
      <c r="V1751" s="49"/>
      <c r="W1751" s="49"/>
      <c r="X1751" s="49"/>
      <c r="Y1751" s="49"/>
      <c r="Z1751" s="49"/>
      <c r="AA1751" s="49"/>
      <c r="AB1751" s="49"/>
      <c r="AC1751" s="49"/>
    </row>
    <row r="1752" spans="3:29">
      <c r="C1752" s="49"/>
      <c r="D1752" s="48">
        <f>ROUNDUP(6+F1752/2,0)</f>
        <v>7</v>
      </c>
      <c r="E1752" s="48" t="s">
        <v>6</v>
      </c>
      <c r="F1752" s="6">
        <f>LEN(G1752)</f>
        <v>2</v>
      </c>
      <c r="G1752" s="41" t="s">
        <v>201</v>
      </c>
      <c r="H1752" s="6">
        <f>H1751+400</f>
        <v>3920</v>
      </c>
      <c r="I1752" s="6">
        <f>I1751</f>
        <v>5700</v>
      </c>
      <c r="J1752" s="50"/>
      <c r="K1752" s="50"/>
      <c r="L1752" s="50"/>
      <c r="M1752" s="50"/>
      <c r="N1752" s="50"/>
      <c r="O1752" s="50"/>
      <c r="P1752" s="49"/>
      <c r="Q1752" s="49"/>
      <c r="R1752" s="49"/>
      <c r="S1752" s="49"/>
      <c r="T1752" s="49"/>
      <c r="U1752" s="49"/>
      <c r="V1752" s="49"/>
      <c r="W1752" s="49"/>
      <c r="X1752" s="49"/>
      <c r="Y1752" s="49"/>
      <c r="Z1752" s="49"/>
      <c r="AA1752" s="49"/>
      <c r="AB1752" s="49"/>
      <c r="AC1752" s="49"/>
    </row>
    <row r="1753" spans="3:29">
      <c r="C1753" s="49"/>
      <c r="D1753" s="49">
        <v>18</v>
      </c>
      <c r="E1753" s="49" t="s">
        <v>111</v>
      </c>
      <c r="F1753" s="50">
        <v>100</v>
      </c>
      <c r="G1753" s="50">
        <v>6600</v>
      </c>
      <c r="H1753" s="50">
        <v>4100</v>
      </c>
      <c r="I1753" s="50">
        <f>G1753+400</f>
        <v>7000</v>
      </c>
      <c r="J1753" s="50">
        <f>H1753</f>
        <v>4100</v>
      </c>
      <c r="K1753" s="50"/>
      <c r="L1753" s="50"/>
      <c r="M1753" s="50"/>
      <c r="N1753" s="50"/>
      <c r="O1753" s="50"/>
      <c r="P1753" s="49"/>
      <c r="Q1753" s="49"/>
      <c r="R1753" s="49"/>
      <c r="S1753" s="49"/>
      <c r="T1753" s="49"/>
      <c r="U1753" s="49"/>
      <c r="V1753" s="49"/>
      <c r="W1753" s="49"/>
      <c r="X1753" s="49"/>
      <c r="Y1753" s="49"/>
      <c r="Z1753" s="49"/>
      <c r="AA1753" s="49"/>
      <c r="AB1753" s="49"/>
      <c r="AC1753" s="49"/>
    </row>
    <row r="1754" spans="3:29">
      <c r="C1754" s="49"/>
      <c r="D1754" s="49">
        <v>7</v>
      </c>
      <c r="E1754" s="49" t="s">
        <v>5</v>
      </c>
      <c r="F1754" s="50">
        <f>F1748</f>
        <v>4500</v>
      </c>
      <c r="G1754" s="50">
        <f>G1748+1400</f>
        <v>7900</v>
      </c>
      <c r="H1754" s="50">
        <f>F1754-400</f>
        <v>4100</v>
      </c>
      <c r="I1754" s="50">
        <f>G1754-800</f>
        <v>7100</v>
      </c>
      <c r="J1754" s="50"/>
      <c r="K1754" s="50"/>
      <c r="L1754" s="50"/>
      <c r="M1754" s="50"/>
      <c r="N1754" s="50"/>
      <c r="O1754" s="50"/>
      <c r="P1754" s="49"/>
      <c r="Q1754" s="49"/>
      <c r="R1754" s="49"/>
      <c r="S1754" s="49"/>
      <c r="T1754" s="49"/>
      <c r="U1754" s="49"/>
      <c r="V1754" s="49"/>
      <c r="W1754" s="49"/>
      <c r="X1754" s="49"/>
      <c r="Y1754" s="49"/>
      <c r="Z1754" s="49"/>
      <c r="AA1754" s="49"/>
      <c r="AB1754" s="49"/>
      <c r="AC1754" s="49"/>
    </row>
    <row r="1755" spans="3:29">
      <c r="C1755" s="49"/>
      <c r="D1755" s="49">
        <v>7</v>
      </c>
      <c r="E1755" s="49" t="s">
        <v>5</v>
      </c>
      <c r="F1755" s="50">
        <f>F1754</f>
        <v>4500</v>
      </c>
      <c r="G1755" s="50">
        <f>G1754-400</f>
        <v>7500</v>
      </c>
      <c r="H1755" s="50">
        <f>F1755-800</f>
        <v>3700</v>
      </c>
      <c r="I1755" s="50">
        <f>G1755-400</f>
        <v>7100</v>
      </c>
      <c r="J1755" s="50"/>
      <c r="K1755" s="50"/>
      <c r="L1755" s="50"/>
      <c r="M1755" s="50"/>
      <c r="N1755" s="50"/>
      <c r="O1755" s="50"/>
      <c r="P1755" s="49"/>
      <c r="Q1755" s="49"/>
      <c r="R1755" s="49"/>
      <c r="S1755" s="49"/>
      <c r="T1755" s="49"/>
      <c r="U1755" s="49"/>
      <c r="V1755" s="49"/>
      <c r="W1755" s="49"/>
      <c r="X1755" s="49"/>
      <c r="Y1755" s="49"/>
      <c r="Z1755" s="49"/>
      <c r="AA1755" s="49"/>
      <c r="AB1755" s="49"/>
      <c r="AC1755" s="49"/>
    </row>
    <row r="1756" spans="3:29">
      <c r="C1756" s="49"/>
      <c r="D1756" s="48">
        <f>ROUNDUP(6+F1756/2,0)</f>
        <v>7</v>
      </c>
      <c r="E1756" s="48" t="s">
        <v>6</v>
      </c>
      <c r="F1756" s="6">
        <f>LEN(G1756)</f>
        <v>2</v>
      </c>
      <c r="G1756" s="41" t="s">
        <v>201</v>
      </c>
      <c r="H1756" s="6">
        <f>H1754-180</f>
        <v>3920</v>
      </c>
      <c r="I1756" s="6">
        <f>I1754</f>
        <v>7100</v>
      </c>
      <c r="J1756" s="50"/>
      <c r="K1756" s="50"/>
      <c r="L1756" s="50"/>
      <c r="M1756" s="50"/>
      <c r="N1756" s="50"/>
      <c r="O1756" s="50"/>
      <c r="P1756" s="49"/>
      <c r="Q1756" s="49"/>
      <c r="R1756" s="49"/>
      <c r="S1756" s="49"/>
      <c r="T1756" s="49"/>
      <c r="U1756" s="49"/>
      <c r="V1756" s="49"/>
      <c r="W1756" s="49"/>
      <c r="X1756" s="49"/>
      <c r="Y1756" s="49"/>
      <c r="Z1756" s="49"/>
      <c r="AA1756" s="49"/>
      <c r="AB1756" s="49"/>
      <c r="AC1756" s="49"/>
    </row>
    <row r="1757" spans="3:29">
      <c r="C1757" s="49"/>
      <c r="D1757" s="48">
        <f>ROUNDUP(6+F1757/2,0)</f>
        <v>7</v>
      </c>
      <c r="E1757" s="48" t="s">
        <v>6</v>
      </c>
      <c r="F1757" s="6">
        <f>LEN(G1757)</f>
        <v>1</v>
      </c>
      <c r="G1757" s="41" t="s">
        <v>202</v>
      </c>
      <c r="H1757" s="6">
        <f>H1756-400</f>
        <v>3520</v>
      </c>
      <c r="I1757" s="6">
        <f>I1756</f>
        <v>7100</v>
      </c>
      <c r="J1757" s="50"/>
      <c r="K1757" s="50"/>
      <c r="L1757" s="50"/>
      <c r="M1757" s="50"/>
      <c r="N1757" s="50"/>
      <c r="O1757" s="50"/>
      <c r="P1757" s="49"/>
      <c r="Q1757" s="49"/>
      <c r="R1757" s="49"/>
      <c r="S1757" s="49"/>
      <c r="T1757" s="49"/>
      <c r="U1757" s="49"/>
      <c r="V1757" s="49"/>
      <c r="W1757" s="49"/>
      <c r="X1757" s="49"/>
      <c r="Y1757" s="49"/>
      <c r="Z1757" s="49"/>
      <c r="AA1757" s="49"/>
      <c r="AB1757" s="49"/>
      <c r="AC1757" s="49"/>
    </row>
    <row r="1758" spans="3:29">
      <c r="C1758" s="49"/>
      <c r="D1758" s="49">
        <v>18</v>
      </c>
      <c r="E1758" s="49" t="s">
        <v>111</v>
      </c>
      <c r="F1758" s="50">
        <v>100</v>
      </c>
      <c r="G1758" s="50">
        <v>8000</v>
      </c>
      <c r="H1758" s="50">
        <v>3900</v>
      </c>
      <c r="I1758" s="50">
        <f>G1758+400</f>
        <v>8400</v>
      </c>
      <c r="J1758" s="50">
        <f>H1758-400</f>
        <v>3500</v>
      </c>
      <c r="K1758" s="50"/>
      <c r="L1758" s="50"/>
      <c r="M1758" s="50"/>
      <c r="N1758" s="50"/>
      <c r="O1758" s="50"/>
      <c r="P1758" s="49"/>
      <c r="Q1758" s="49"/>
      <c r="R1758" s="49"/>
      <c r="S1758" s="49"/>
      <c r="T1758" s="49"/>
      <c r="U1758" s="49"/>
      <c r="V1758" s="49"/>
      <c r="W1758" s="49"/>
      <c r="X1758" s="49"/>
      <c r="Y1758" s="49"/>
      <c r="Z1758" s="49"/>
      <c r="AA1758" s="49"/>
      <c r="AB1758" s="49"/>
      <c r="AC1758" s="49"/>
    </row>
    <row r="1759" spans="3:29">
      <c r="C1759" s="49"/>
      <c r="D1759" s="49">
        <v>18</v>
      </c>
      <c r="E1759" s="49" t="s">
        <v>111</v>
      </c>
      <c r="F1759" s="50">
        <v>100</v>
      </c>
      <c r="G1759" s="50">
        <v>8000</v>
      </c>
      <c r="H1759" s="50">
        <v>4300</v>
      </c>
      <c r="I1759" s="50">
        <f>G1759+400</f>
        <v>8400</v>
      </c>
      <c r="J1759" s="50">
        <f>H1759+400</f>
        <v>4700</v>
      </c>
      <c r="K1759" s="50"/>
      <c r="L1759" s="50"/>
      <c r="M1759" s="50"/>
      <c r="N1759" s="50"/>
      <c r="O1759" s="50"/>
      <c r="P1759" s="49"/>
      <c r="Q1759" s="49"/>
      <c r="R1759" s="49"/>
      <c r="S1759" s="49"/>
      <c r="T1759" s="49"/>
      <c r="U1759" s="49"/>
      <c r="V1759" s="49"/>
      <c r="W1759" s="49"/>
      <c r="X1759" s="49"/>
      <c r="Y1759" s="49"/>
      <c r="Z1759" s="49"/>
      <c r="AA1759" s="49"/>
      <c r="AB1759" s="49"/>
      <c r="AC1759" s="49"/>
    </row>
    <row r="1760" spans="3:29">
      <c r="C1760" s="49"/>
      <c r="D1760" s="49">
        <v>7</v>
      </c>
      <c r="E1760" s="49" t="s">
        <v>5</v>
      </c>
      <c r="F1760" s="50">
        <f>F1754-600</f>
        <v>3900</v>
      </c>
      <c r="G1760" s="50">
        <f>G1754+1000</f>
        <v>8900</v>
      </c>
      <c r="H1760" s="50">
        <f>F1760-400</f>
        <v>3500</v>
      </c>
      <c r="I1760" s="50">
        <f>G1760-400</f>
        <v>8500</v>
      </c>
      <c r="J1760" s="50"/>
      <c r="K1760" s="50"/>
      <c r="L1760" s="50"/>
      <c r="M1760" s="50"/>
      <c r="N1760" s="50"/>
      <c r="O1760" s="50"/>
      <c r="P1760" s="49"/>
      <c r="Q1760" s="49"/>
      <c r="R1760" s="49"/>
      <c r="S1760" s="49"/>
      <c r="T1760" s="49"/>
      <c r="U1760" s="49"/>
      <c r="V1760" s="49"/>
      <c r="W1760" s="49"/>
      <c r="X1760" s="49"/>
      <c r="Y1760" s="49"/>
      <c r="Z1760" s="49"/>
      <c r="AA1760" s="49"/>
      <c r="AB1760" s="49"/>
      <c r="AC1760" s="49"/>
    </row>
    <row r="1761" spans="3:29">
      <c r="C1761" s="49"/>
      <c r="D1761" s="49">
        <v>7</v>
      </c>
      <c r="E1761" s="49" t="s">
        <v>5</v>
      </c>
      <c r="F1761" s="50">
        <f>F1760</f>
        <v>3900</v>
      </c>
      <c r="G1761" s="50">
        <f>G1760</f>
        <v>8900</v>
      </c>
      <c r="H1761" s="50">
        <f>F1761-800</f>
        <v>3100</v>
      </c>
      <c r="I1761" s="50">
        <f>G1761-400</f>
        <v>8500</v>
      </c>
      <c r="J1761" s="50"/>
      <c r="K1761" s="50"/>
      <c r="L1761" s="50"/>
      <c r="M1761" s="50"/>
      <c r="N1761" s="50"/>
      <c r="O1761" s="50"/>
      <c r="P1761" s="49"/>
      <c r="Q1761" s="49"/>
      <c r="R1761" s="49"/>
      <c r="S1761" s="49"/>
      <c r="T1761" s="49"/>
      <c r="U1761" s="49"/>
      <c r="V1761" s="49"/>
      <c r="W1761" s="49"/>
      <c r="X1761" s="49"/>
      <c r="Y1761" s="49"/>
      <c r="Z1761" s="49"/>
      <c r="AA1761" s="49"/>
      <c r="AB1761" s="49"/>
      <c r="AC1761" s="49"/>
    </row>
    <row r="1762" spans="3:29">
      <c r="C1762" s="49"/>
      <c r="D1762" s="48">
        <f>ROUNDUP(6+F1762/2,0)</f>
        <v>7</v>
      </c>
      <c r="E1762" s="48" t="s">
        <v>6</v>
      </c>
      <c r="F1762" s="6">
        <f>LEN(G1762)</f>
        <v>1</v>
      </c>
      <c r="G1762" s="41" t="s">
        <v>202</v>
      </c>
      <c r="H1762" s="6">
        <f>H1760-180</f>
        <v>3320</v>
      </c>
      <c r="I1762" s="6">
        <f>I1760</f>
        <v>8500</v>
      </c>
      <c r="J1762" s="50"/>
      <c r="K1762" s="50"/>
      <c r="L1762" s="50"/>
      <c r="M1762" s="50"/>
      <c r="N1762" s="50"/>
      <c r="O1762" s="50"/>
      <c r="P1762" s="49"/>
      <c r="Q1762" s="49"/>
      <c r="R1762" s="49"/>
      <c r="S1762" s="49"/>
      <c r="T1762" s="49"/>
      <c r="U1762" s="49"/>
      <c r="V1762" s="49"/>
      <c r="W1762" s="49"/>
      <c r="X1762" s="49"/>
      <c r="Y1762" s="49"/>
      <c r="Z1762" s="49"/>
      <c r="AA1762" s="49"/>
      <c r="AB1762" s="49"/>
      <c r="AC1762" s="49"/>
    </row>
    <row r="1763" spans="3:29">
      <c r="C1763" s="49"/>
      <c r="D1763" s="48">
        <f>ROUNDUP(6+F1763/2,0)</f>
        <v>7</v>
      </c>
      <c r="E1763" s="48" t="s">
        <v>6</v>
      </c>
      <c r="F1763" s="6">
        <f>LEN(G1763)</f>
        <v>1</v>
      </c>
      <c r="G1763" s="41" t="s">
        <v>202</v>
      </c>
      <c r="H1763" s="6">
        <f>H1762-400</f>
        <v>2920</v>
      </c>
      <c r="I1763" s="6">
        <f>I1762</f>
        <v>8500</v>
      </c>
      <c r="J1763" s="50"/>
      <c r="K1763" s="50"/>
      <c r="L1763" s="50"/>
      <c r="M1763" s="50"/>
      <c r="N1763" s="50"/>
      <c r="O1763" s="50"/>
      <c r="P1763" s="49"/>
      <c r="Q1763" s="49"/>
      <c r="R1763" s="49"/>
      <c r="S1763" s="49"/>
      <c r="T1763" s="49"/>
      <c r="U1763" s="49"/>
      <c r="V1763" s="49"/>
      <c r="W1763" s="49"/>
      <c r="X1763" s="49"/>
      <c r="Y1763" s="49"/>
      <c r="Z1763" s="49"/>
      <c r="AA1763" s="49"/>
      <c r="AB1763" s="49"/>
      <c r="AC1763" s="49"/>
    </row>
    <row r="1764" spans="3:29">
      <c r="C1764" s="49"/>
      <c r="D1764" s="49">
        <v>7</v>
      </c>
      <c r="E1764" s="49" t="s">
        <v>5</v>
      </c>
      <c r="F1764" s="50">
        <f>F1754+600</f>
        <v>5100</v>
      </c>
      <c r="G1764" s="50">
        <f>G1754+1400</f>
        <v>9300</v>
      </c>
      <c r="H1764" s="50">
        <f>F1764-400</f>
        <v>4700</v>
      </c>
      <c r="I1764" s="50">
        <f>G1764-800</f>
        <v>8500</v>
      </c>
      <c r="J1764" s="50"/>
      <c r="K1764" s="50"/>
      <c r="L1764" s="50"/>
      <c r="M1764" s="50"/>
      <c r="N1764" s="50"/>
      <c r="O1764" s="50"/>
      <c r="P1764" s="49"/>
      <c r="Q1764" s="49"/>
      <c r="R1764" s="49"/>
      <c r="S1764" s="49"/>
      <c r="T1764" s="49"/>
      <c r="U1764" s="49"/>
      <c r="V1764" s="49"/>
      <c r="W1764" s="49"/>
      <c r="X1764" s="49"/>
      <c r="Y1764" s="49"/>
      <c r="Z1764" s="49"/>
      <c r="AA1764" s="49"/>
      <c r="AB1764" s="49"/>
      <c r="AC1764" s="49"/>
    </row>
    <row r="1765" spans="3:29">
      <c r="C1765" s="49"/>
      <c r="D1765" s="49">
        <v>7</v>
      </c>
      <c r="E1765" s="49" t="s">
        <v>5</v>
      </c>
      <c r="F1765" s="50">
        <f>F1764</f>
        <v>5100</v>
      </c>
      <c r="G1765" s="50">
        <f>G1764-400</f>
        <v>8900</v>
      </c>
      <c r="H1765" s="50">
        <f>F1765-400</f>
        <v>4700</v>
      </c>
      <c r="I1765" s="50">
        <f>G1765-400</f>
        <v>8500</v>
      </c>
      <c r="J1765" s="50"/>
      <c r="K1765" s="50"/>
      <c r="L1765" s="50"/>
      <c r="M1765" s="50"/>
      <c r="N1765" s="50"/>
      <c r="O1765" s="50"/>
      <c r="P1765" s="49"/>
      <c r="Q1765" s="49"/>
      <c r="R1765" s="49"/>
      <c r="S1765" s="49"/>
      <c r="T1765" s="49"/>
      <c r="U1765" s="49"/>
      <c r="V1765" s="49"/>
      <c r="W1765" s="49"/>
      <c r="X1765" s="49"/>
      <c r="Y1765" s="49"/>
      <c r="Z1765" s="49"/>
      <c r="AA1765" s="49"/>
      <c r="AB1765" s="49"/>
      <c r="AC1765" s="49"/>
    </row>
    <row r="1766" spans="3:29">
      <c r="C1766" s="49"/>
      <c r="D1766" s="48">
        <f>ROUNDUP(6+F1766/2,0)</f>
        <v>7</v>
      </c>
      <c r="E1766" s="48" t="s">
        <v>6</v>
      </c>
      <c r="F1766" s="6">
        <f>LEN(G1766)</f>
        <v>2</v>
      </c>
      <c r="G1766" s="41" t="s">
        <v>201</v>
      </c>
      <c r="H1766" s="6">
        <f>H1764-180</f>
        <v>4520</v>
      </c>
      <c r="I1766" s="6">
        <f>I1764</f>
        <v>8500</v>
      </c>
      <c r="J1766" s="50"/>
      <c r="K1766" s="50"/>
      <c r="L1766" s="50"/>
      <c r="M1766" s="50"/>
      <c r="N1766" s="50"/>
      <c r="O1766" s="50"/>
      <c r="P1766" s="49"/>
      <c r="Q1766" s="49"/>
      <c r="R1766" s="49"/>
      <c r="S1766" s="49"/>
      <c r="T1766" s="49"/>
      <c r="U1766" s="49"/>
      <c r="V1766" s="49"/>
      <c r="W1766" s="49"/>
      <c r="X1766" s="49"/>
      <c r="Y1766" s="49"/>
      <c r="Z1766" s="49"/>
      <c r="AA1766" s="49"/>
      <c r="AB1766" s="49"/>
      <c r="AC1766" s="49"/>
    </row>
    <row r="1767" spans="3:29">
      <c r="C1767" s="49"/>
      <c r="D1767" s="49">
        <v>18</v>
      </c>
      <c r="E1767" s="49" t="s">
        <v>111</v>
      </c>
      <c r="F1767" s="50">
        <v>100</v>
      </c>
      <c r="G1767" s="50">
        <v>9000</v>
      </c>
      <c r="H1767" s="50">
        <v>3500</v>
      </c>
      <c r="I1767" s="50">
        <f>G1767+800</f>
        <v>9800</v>
      </c>
      <c r="J1767" s="50">
        <f>H1767</f>
        <v>3500</v>
      </c>
      <c r="K1767" s="50"/>
      <c r="L1767" s="50"/>
      <c r="M1767" s="50"/>
      <c r="N1767" s="50"/>
      <c r="O1767" s="50"/>
      <c r="P1767" s="49"/>
      <c r="Q1767" s="49"/>
      <c r="R1767" s="49"/>
      <c r="S1767" s="49"/>
      <c r="T1767" s="49"/>
      <c r="U1767" s="49"/>
      <c r="V1767" s="49"/>
      <c r="W1767" s="49"/>
      <c r="X1767" s="49"/>
      <c r="Y1767" s="49"/>
      <c r="Z1767" s="49"/>
      <c r="AA1767" s="49"/>
      <c r="AB1767" s="49"/>
      <c r="AC1767" s="49"/>
    </row>
    <row r="1768" spans="3:29">
      <c r="C1768" s="49"/>
      <c r="D1768" s="49">
        <v>18</v>
      </c>
      <c r="E1768" s="49" t="s">
        <v>111</v>
      </c>
      <c r="F1768" s="50">
        <v>100</v>
      </c>
      <c r="G1768" s="50">
        <v>9400</v>
      </c>
      <c r="H1768" s="50">
        <v>4900</v>
      </c>
      <c r="I1768" s="50">
        <f>G1768+400</f>
        <v>9800</v>
      </c>
      <c r="J1768" s="50">
        <f>H1768</f>
        <v>4900</v>
      </c>
      <c r="K1768" s="50"/>
      <c r="L1768" s="50"/>
      <c r="M1768" s="50"/>
      <c r="N1768" s="50"/>
      <c r="O1768" s="50"/>
      <c r="P1768" s="49"/>
      <c r="Q1768" s="49"/>
      <c r="R1768" s="49"/>
      <c r="S1768" s="49"/>
      <c r="T1768" s="49"/>
      <c r="U1768" s="49"/>
      <c r="V1768" s="49"/>
      <c r="W1768" s="49"/>
      <c r="X1768" s="49"/>
      <c r="Y1768" s="49"/>
      <c r="Z1768" s="49"/>
      <c r="AA1768" s="49"/>
      <c r="AB1768" s="49"/>
      <c r="AC1768" s="49"/>
    </row>
    <row r="1769" spans="3:29">
      <c r="C1769" s="49"/>
      <c r="D1769" s="49">
        <v>7</v>
      </c>
      <c r="E1769" s="49" t="s">
        <v>5</v>
      </c>
      <c r="F1769" s="50">
        <v>3700</v>
      </c>
      <c r="G1769" s="50">
        <v>10300</v>
      </c>
      <c r="H1769" s="50">
        <f>F1769-400</f>
        <v>3300</v>
      </c>
      <c r="I1769" s="50">
        <f>G1769-400</f>
        <v>9900</v>
      </c>
      <c r="J1769" s="50"/>
      <c r="K1769" s="50"/>
      <c r="L1769" s="50"/>
      <c r="M1769" s="50"/>
      <c r="N1769" s="50"/>
      <c r="O1769" s="50"/>
      <c r="P1769" s="49"/>
      <c r="Q1769" s="49"/>
      <c r="R1769" s="49"/>
      <c r="S1769" s="49"/>
      <c r="T1769" s="49"/>
      <c r="U1769" s="49"/>
      <c r="V1769" s="49"/>
      <c r="W1769" s="49"/>
      <c r="X1769" s="49"/>
      <c r="Y1769" s="49"/>
      <c r="Z1769" s="49"/>
      <c r="AA1769" s="49"/>
      <c r="AB1769" s="49"/>
      <c r="AC1769" s="49"/>
    </row>
    <row r="1770" spans="3:29">
      <c r="C1770" s="49"/>
      <c r="D1770" s="49">
        <v>7</v>
      </c>
      <c r="E1770" s="49" t="s">
        <v>5</v>
      </c>
      <c r="F1770" s="50">
        <v>5100</v>
      </c>
      <c r="G1770" s="50">
        <v>10300</v>
      </c>
      <c r="H1770" s="50">
        <f>F1770-400</f>
        <v>4700</v>
      </c>
      <c r="I1770" s="50">
        <f>G1770-400</f>
        <v>9900</v>
      </c>
      <c r="J1770" s="50"/>
      <c r="K1770" s="50"/>
      <c r="L1770" s="50"/>
      <c r="M1770" s="50"/>
      <c r="N1770" s="50"/>
      <c r="O1770" s="50"/>
      <c r="P1770" s="49"/>
      <c r="Q1770" s="49"/>
      <c r="R1770" s="49"/>
      <c r="S1770" s="49"/>
      <c r="T1770" s="49"/>
      <c r="U1770" s="49"/>
      <c r="V1770" s="49"/>
      <c r="W1770" s="49"/>
      <c r="X1770" s="49"/>
      <c r="Y1770" s="49"/>
      <c r="Z1770" s="49"/>
      <c r="AA1770" s="49"/>
      <c r="AB1770" s="49"/>
      <c r="AC1770" s="49"/>
    </row>
    <row r="1771" spans="3:29">
      <c r="C1771" s="49"/>
      <c r="D1771" s="48">
        <f>ROUNDUP(6+F1771/2,0)</f>
        <v>7</v>
      </c>
      <c r="E1771" s="48" t="s">
        <v>6</v>
      </c>
      <c r="F1771" s="6">
        <f>LEN(G1771)</f>
        <v>1</v>
      </c>
      <c r="G1771" s="41" t="s">
        <v>202</v>
      </c>
      <c r="H1771" s="6">
        <f>H1769-180</f>
        <v>3120</v>
      </c>
      <c r="I1771" s="6">
        <f>I1769</f>
        <v>9900</v>
      </c>
      <c r="J1771" s="50"/>
      <c r="K1771" s="50"/>
      <c r="L1771" s="50"/>
      <c r="M1771" s="50"/>
      <c r="N1771" s="50"/>
      <c r="O1771" s="50"/>
      <c r="P1771" s="49"/>
      <c r="Q1771" s="49"/>
      <c r="R1771" s="49"/>
      <c r="S1771" s="49"/>
      <c r="T1771" s="49"/>
      <c r="U1771" s="49"/>
      <c r="V1771" s="49"/>
      <c r="W1771" s="49"/>
      <c r="X1771" s="49"/>
      <c r="Y1771" s="49"/>
      <c r="Z1771" s="49"/>
      <c r="AA1771" s="49"/>
      <c r="AB1771" s="49"/>
      <c r="AC1771" s="49"/>
    </row>
    <row r="1772" spans="3:29">
      <c r="C1772" s="49"/>
      <c r="D1772" s="48">
        <f>ROUNDUP(6+F1772/2,0)</f>
        <v>7</v>
      </c>
      <c r="E1772" s="48" t="s">
        <v>6</v>
      </c>
      <c r="F1772" s="6">
        <f>LEN(G1772)</f>
        <v>1</v>
      </c>
      <c r="G1772" s="41" t="s">
        <v>202</v>
      </c>
      <c r="H1772" s="6">
        <f>H1770-180</f>
        <v>4520</v>
      </c>
      <c r="I1772" s="6">
        <f>I1770</f>
        <v>9900</v>
      </c>
      <c r="J1772" s="50"/>
      <c r="K1772" s="50"/>
      <c r="L1772" s="50"/>
      <c r="M1772" s="50"/>
      <c r="N1772" s="50"/>
      <c r="O1772" s="50"/>
      <c r="P1772" s="49"/>
      <c r="Q1772" s="49"/>
      <c r="R1772" s="49"/>
      <c r="S1772" s="49"/>
      <c r="T1772" s="49"/>
      <c r="U1772" s="49"/>
      <c r="V1772" s="49"/>
      <c r="W1772" s="49"/>
      <c r="X1772" s="49"/>
      <c r="Y1772" s="49"/>
      <c r="Z1772" s="49"/>
      <c r="AA1772" s="49"/>
      <c r="AB1772" s="49"/>
      <c r="AC1772" s="49"/>
    </row>
    <row r="1773" spans="3:29">
      <c r="C1773" s="49"/>
      <c r="D1773" s="48">
        <v>4</v>
      </c>
      <c r="E1773" s="48" t="s">
        <v>15</v>
      </c>
      <c r="F1773" s="6">
        <v>6</v>
      </c>
      <c r="G1773" s="50"/>
      <c r="H1773" s="50"/>
      <c r="I1773" s="50"/>
      <c r="J1773" s="50"/>
      <c r="K1773" s="50"/>
      <c r="L1773" s="50"/>
      <c r="M1773" s="50"/>
      <c r="N1773" s="50"/>
      <c r="O1773" s="50"/>
      <c r="P1773" s="49"/>
      <c r="Q1773" s="49"/>
      <c r="R1773" s="49"/>
      <c r="S1773" s="49"/>
      <c r="T1773" s="49"/>
      <c r="U1773" s="49"/>
      <c r="V1773" s="49"/>
      <c r="W1773" s="49"/>
      <c r="X1773" s="49"/>
      <c r="Y1773" s="49"/>
      <c r="Z1773" s="49"/>
      <c r="AA1773" s="49"/>
      <c r="AB1773" s="49"/>
      <c r="AC1773" s="49"/>
    </row>
    <row r="1774" spans="3:29">
      <c r="C1774" s="49"/>
      <c r="D1774" s="49">
        <v>5</v>
      </c>
      <c r="E1774" s="49" t="s">
        <v>9</v>
      </c>
      <c r="F1774" s="50">
        <v>0</v>
      </c>
      <c r="G1774" s="50">
        <v>0</v>
      </c>
      <c r="H1774" s="50"/>
      <c r="I1774" s="50"/>
      <c r="J1774" s="50"/>
      <c r="K1774" s="50"/>
      <c r="L1774" s="50"/>
      <c r="M1774" s="50"/>
      <c r="N1774" s="50"/>
      <c r="O1774" s="50"/>
      <c r="P1774" s="49"/>
      <c r="Q1774" s="49"/>
      <c r="R1774" s="49"/>
      <c r="S1774" s="49"/>
      <c r="T1774" s="49"/>
      <c r="U1774" s="49"/>
      <c r="V1774" s="49"/>
      <c r="W1774" s="49"/>
      <c r="X1774" s="49"/>
      <c r="Y1774" s="49"/>
      <c r="Z1774" s="49"/>
      <c r="AA1774" s="49"/>
      <c r="AB1774" s="49"/>
      <c r="AC1774" s="49"/>
    </row>
    <row r="1775" spans="3:29">
      <c r="C1775" s="49"/>
      <c r="D1775" s="48">
        <f t="shared" ref="D1775:D1781" si="128">ROUNDUP(6+F1775/2,0)</f>
        <v>7</v>
      </c>
      <c r="E1775" s="48" t="s">
        <v>6</v>
      </c>
      <c r="F1775" s="6">
        <f t="shared" ref="F1775:F1781" si="129">LEN(G1775)</f>
        <v>2</v>
      </c>
      <c r="G1775" s="36" t="s">
        <v>203</v>
      </c>
      <c r="H1775" s="6">
        <v>1000</v>
      </c>
      <c r="I1775" s="6">
        <v>5800</v>
      </c>
      <c r="J1775" s="50"/>
      <c r="K1775" s="50"/>
      <c r="L1775" s="50"/>
      <c r="M1775" s="50"/>
      <c r="N1775" s="50"/>
      <c r="O1775" s="50"/>
      <c r="P1775" s="49"/>
      <c r="Q1775" s="49"/>
      <c r="R1775" s="49"/>
      <c r="S1775" s="49"/>
      <c r="T1775" s="49"/>
      <c r="U1775" s="49"/>
      <c r="V1775" s="49"/>
      <c r="W1775" s="49"/>
      <c r="X1775" s="49"/>
      <c r="Y1775" s="49"/>
      <c r="Z1775" s="49"/>
      <c r="AA1775" s="49"/>
      <c r="AB1775" s="49"/>
      <c r="AC1775" s="49"/>
    </row>
    <row r="1776" spans="3:29">
      <c r="C1776" s="49"/>
      <c r="D1776" s="48">
        <f t="shared" si="128"/>
        <v>7</v>
      </c>
      <c r="E1776" s="48" t="s">
        <v>6</v>
      </c>
      <c r="F1776" s="6">
        <f t="shared" si="129"/>
        <v>2</v>
      </c>
      <c r="G1776" s="36" t="s">
        <v>204</v>
      </c>
      <c r="H1776" s="6">
        <f>H1775</f>
        <v>1000</v>
      </c>
      <c r="I1776" s="6">
        <f>I1775+1400</f>
        <v>7200</v>
      </c>
      <c r="J1776" s="50"/>
      <c r="K1776" s="50"/>
      <c r="L1776" s="50"/>
      <c r="M1776" s="50"/>
      <c r="N1776" s="50"/>
      <c r="O1776" s="50"/>
      <c r="P1776" s="49"/>
      <c r="Q1776" s="49"/>
      <c r="R1776" s="49"/>
      <c r="S1776" s="49"/>
      <c r="T1776" s="49"/>
      <c r="U1776" s="49"/>
      <c r="V1776" s="49"/>
      <c r="W1776" s="49"/>
      <c r="X1776" s="49"/>
      <c r="Y1776" s="49"/>
      <c r="Z1776" s="49"/>
      <c r="AA1776" s="49"/>
      <c r="AB1776" s="49"/>
      <c r="AC1776" s="49"/>
    </row>
    <row r="1777" spans="1:29">
      <c r="C1777" s="49"/>
      <c r="D1777" s="48">
        <f t="shared" si="128"/>
        <v>7</v>
      </c>
      <c r="E1777" s="48" t="s">
        <v>6</v>
      </c>
      <c r="F1777" s="6">
        <f t="shared" si="129"/>
        <v>2</v>
      </c>
      <c r="G1777" s="36" t="s">
        <v>205</v>
      </c>
      <c r="H1777" s="6">
        <f>H1776</f>
        <v>1000</v>
      </c>
      <c r="I1777" s="6">
        <f>I1776+1400</f>
        <v>8600</v>
      </c>
      <c r="J1777" s="50"/>
      <c r="K1777" s="50"/>
      <c r="L1777" s="50"/>
      <c r="M1777" s="50"/>
      <c r="N1777" s="50"/>
      <c r="O1777" s="50"/>
      <c r="P1777" s="49"/>
      <c r="Q1777" s="49"/>
      <c r="R1777" s="49"/>
      <c r="S1777" s="49"/>
      <c r="T1777" s="49"/>
      <c r="U1777" s="49"/>
      <c r="V1777" s="49"/>
      <c r="W1777" s="49"/>
      <c r="X1777" s="49"/>
      <c r="Y1777" s="49"/>
      <c r="Z1777" s="49"/>
      <c r="AA1777" s="49"/>
      <c r="AB1777" s="49"/>
      <c r="AC1777" s="49"/>
    </row>
    <row r="1778" spans="1:29">
      <c r="C1778" s="49"/>
      <c r="D1778" s="48">
        <f t="shared" si="128"/>
        <v>7</v>
      </c>
      <c r="E1778" s="48" t="s">
        <v>6</v>
      </c>
      <c r="F1778" s="6">
        <f t="shared" si="129"/>
        <v>2</v>
      </c>
      <c r="G1778" s="36" t="s">
        <v>206</v>
      </c>
      <c r="H1778" s="6">
        <f>H1777</f>
        <v>1000</v>
      </c>
      <c r="I1778" s="6">
        <f>I1777+1400</f>
        <v>10000</v>
      </c>
      <c r="J1778" s="50"/>
      <c r="K1778" s="50"/>
      <c r="L1778" s="50"/>
      <c r="M1778" s="50"/>
      <c r="N1778" s="50"/>
      <c r="O1778" s="50"/>
      <c r="P1778" s="49"/>
      <c r="Q1778" s="49"/>
      <c r="R1778" s="49"/>
      <c r="S1778" s="49"/>
      <c r="T1778" s="49"/>
      <c r="U1778" s="49"/>
      <c r="V1778" s="49"/>
      <c r="W1778" s="49"/>
      <c r="X1778" s="49"/>
      <c r="Y1778" s="49"/>
      <c r="Z1778" s="49"/>
      <c r="AA1778" s="49"/>
      <c r="AB1778" s="49"/>
      <c r="AC1778" s="49"/>
    </row>
    <row r="1779" spans="1:29">
      <c r="C1779" s="49"/>
      <c r="D1779" s="48">
        <f t="shared" si="128"/>
        <v>10</v>
      </c>
      <c r="E1779" s="48" t="s">
        <v>6</v>
      </c>
      <c r="F1779" s="6">
        <f t="shared" si="129"/>
        <v>7</v>
      </c>
      <c r="G1779" s="36" t="s">
        <v>216</v>
      </c>
      <c r="H1779" s="6">
        <v>6100</v>
      </c>
      <c r="I1779" s="6">
        <v>5800</v>
      </c>
      <c r="J1779" s="50"/>
      <c r="K1779" s="50"/>
      <c r="L1779" s="50"/>
      <c r="M1779" s="50"/>
      <c r="N1779" s="50"/>
      <c r="O1779" s="50"/>
      <c r="P1779" s="49"/>
      <c r="Q1779" s="49"/>
      <c r="R1779" s="49"/>
      <c r="S1779" s="49"/>
      <c r="T1779" s="49"/>
      <c r="U1779" s="49"/>
      <c r="V1779" s="49"/>
      <c r="W1779" s="49"/>
      <c r="X1779" s="49"/>
      <c r="Y1779" s="49"/>
      <c r="Z1779" s="49"/>
      <c r="AA1779" s="49"/>
      <c r="AB1779" s="49"/>
      <c r="AC1779" s="49"/>
    </row>
    <row r="1780" spans="1:29">
      <c r="C1780" s="49"/>
      <c r="D1780" s="48">
        <f t="shared" si="128"/>
        <v>8</v>
      </c>
      <c r="E1780" s="48" t="s">
        <v>6</v>
      </c>
      <c r="F1780" s="6">
        <f t="shared" si="129"/>
        <v>3</v>
      </c>
      <c r="G1780" s="36" t="s">
        <v>217</v>
      </c>
      <c r="H1780" s="6">
        <v>2100</v>
      </c>
      <c r="I1780" s="6">
        <v>2800</v>
      </c>
      <c r="J1780" s="50"/>
      <c r="K1780" s="50"/>
      <c r="L1780" s="50"/>
      <c r="M1780" s="50"/>
      <c r="N1780" s="50"/>
      <c r="O1780" s="50"/>
      <c r="P1780" s="49"/>
      <c r="Q1780" s="49"/>
      <c r="R1780" s="49"/>
      <c r="S1780" s="49"/>
      <c r="T1780" s="49"/>
      <c r="U1780" s="49"/>
      <c r="V1780" s="49"/>
      <c r="W1780" s="49"/>
      <c r="X1780" s="49"/>
      <c r="Y1780" s="49"/>
      <c r="Z1780" s="49"/>
      <c r="AA1780" s="49"/>
      <c r="AB1780" s="49"/>
      <c r="AC1780" s="49"/>
    </row>
    <row r="1781" spans="1:29">
      <c r="C1781" s="49"/>
      <c r="D1781" s="48">
        <f t="shared" si="128"/>
        <v>8</v>
      </c>
      <c r="E1781" s="48" t="s">
        <v>6</v>
      </c>
      <c r="F1781" s="6">
        <f t="shared" si="129"/>
        <v>3</v>
      </c>
      <c r="G1781" s="36" t="s">
        <v>218</v>
      </c>
      <c r="H1781" s="6">
        <f>H1780+4000</f>
        <v>6100</v>
      </c>
      <c r="I1781" s="6">
        <f>I1780</f>
        <v>2800</v>
      </c>
      <c r="J1781" s="50"/>
      <c r="K1781" s="50"/>
      <c r="L1781" s="50"/>
      <c r="M1781" s="50"/>
      <c r="N1781" s="50"/>
      <c r="O1781" s="50"/>
      <c r="P1781" s="49"/>
      <c r="Q1781" s="49"/>
      <c r="R1781" s="49"/>
      <c r="S1781" s="49"/>
      <c r="T1781" s="49"/>
      <c r="U1781" s="49"/>
      <c r="V1781" s="49"/>
      <c r="W1781" s="49"/>
      <c r="X1781" s="49"/>
      <c r="Y1781" s="49"/>
      <c r="Z1781" s="49"/>
      <c r="AA1781" s="49"/>
      <c r="AB1781" s="49"/>
      <c r="AC1781" s="49"/>
    </row>
    <row r="1782" spans="1:29">
      <c r="C1782" s="49"/>
      <c r="D1782" s="48">
        <v>4</v>
      </c>
      <c r="E1782" s="48" t="s">
        <v>15</v>
      </c>
      <c r="F1782" s="6">
        <v>0</v>
      </c>
      <c r="G1782" s="36"/>
      <c r="J1782" s="50"/>
      <c r="K1782" s="50"/>
      <c r="L1782" s="50"/>
      <c r="M1782" s="50"/>
      <c r="N1782" s="50"/>
      <c r="O1782" s="50"/>
      <c r="P1782" s="49"/>
      <c r="Q1782" s="49"/>
      <c r="R1782" s="49"/>
      <c r="S1782" s="49"/>
      <c r="T1782" s="49"/>
      <c r="U1782" s="49"/>
      <c r="V1782" s="49"/>
      <c r="W1782" s="49"/>
      <c r="X1782" s="49"/>
      <c r="Y1782" s="49"/>
      <c r="Z1782" s="49"/>
      <c r="AA1782" s="49"/>
      <c r="AB1782" s="49"/>
      <c r="AC1782" s="49"/>
    </row>
    <row r="1783" spans="1:29">
      <c r="C1783" s="49"/>
      <c r="D1783" s="48">
        <f t="shared" ref="D1783:D1802" si="130">ROUNDUP(6+F1783/2,0)</f>
        <v>8</v>
      </c>
      <c r="E1783" s="48" t="s">
        <v>6</v>
      </c>
      <c r="F1783" s="6">
        <f t="shared" ref="F1783:F1802" si="131">LEN(G1783)</f>
        <v>3</v>
      </c>
      <c r="G1783" s="36" t="s">
        <v>82</v>
      </c>
      <c r="H1783" s="6">
        <v>2600</v>
      </c>
      <c r="I1783" s="6">
        <v>5700</v>
      </c>
      <c r="J1783" s="50"/>
      <c r="K1783" s="50"/>
      <c r="L1783" s="50"/>
      <c r="M1783" s="50"/>
      <c r="N1783" s="50"/>
      <c r="O1783" s="50"/>
      <c r="P1783" s="49"/>
      <c r="Q1783" s="49"/>
      <c r="R1783" s="49"/>
      <c r="S1783" s="49"/>
      <c r="T1783" s="49"/>
      <c r="U1783" s="49"/>
      <c r="V1783" s="49"/>
      <c r="W1783" s="49"/>
      <c r="X1783" s="49"/>
      <c r="Y1783" s="49"/>
      <c r="Z1783" s="49"/>
      <c r="AA1783" s="49"/>
      <c r="AB1783" s="49"/>
      <c r="AC1783" s="49"/>
    </row>
    <row r="1784" spans="1:29">
      <c r="C1784" s="49"/>
      <c r="D1784" s="48">
        <f t="shared" si="130"/>
        <v>8</v>
      </c>
      <c r="E1784" s="48" t="s">
        <v>6</v>
      </c>
      <c r="F1784" s="6">
        <f t="shared" si="131"/>
        <v>3</v>
      </c>
      <c r="G1784" s="36" t="s">
        <v>82</v>
      </c>
      <c r="H1784" s="6">
        <f>H1783</f>
        <v>2600</v>
      </c>
      <c r="I1784" s="6">
        <f>I1783+1400</f>
        <v>7100</v>
      </c>
      <c r="J1784" s="50"/>
      <c r="K1784" s="50"/>
      <c r="L1784" s="50"/>
      <c r="M1784" s="50"/>
      <c r="N1784" s="50"/>
      <c r="O1784" s="50"/>
      <c r="P1784" s="49"/>
      <c r="Q1784" s="49"/>
      <c r="R1784" s="49"/>
      <c r="S1784" s="49"/>
      <c r="T1784" s="49"/>
      <c r="U1784" s="49"/>
      <c r="V1784" s="49"/>
      <c r="W1784" s="49"/>
      <c r="X1784" s="49"/>
      <c r="Y1784" s="49"/>
      <c r="Z1784" s="49"/>
      <c r="AA1784" s="49"/>
      <c r="AB1784" s="49"/>
      <c r="AC1784" s="49"/>
    </row>
    <row r="1785" spans="1:29">
      <c r="C1785" s="49"/>
      <c r="D1785" s="48">
        <f t="shared" si="130"/>
        <v>8</v>
      </c>
      <c r="E1785" s="48" t="s">
        <v>6</v>
      </c>
      <c r="F1785" s="6">
        <f t="shared" si="131"/>
        <v>3</v>
      </c>
      <c r="G1785" s="36" t="s">
        <v>82</v>
      </c>
      <c r="H1785" s="6">
        <f>H1784-600</f>
        <v>2000</v>
      </c>
      <c r="I1785" s="6">
        <f>I1784+1400</f>
        <v>8500</v>
      </c>
      <c r="J1785" s="50"/>
      <c r="K1785" s="50"/>
      <c r="L1785" s="50"/>
      <c r="M1785" s="50"/>
      <c r="N1785" s="50"/>
      <c r="O1785" s="50"/>
      <c r="P1785" s="49"/>
      <c r="Q1785" s="49"/>
      <c r="R1785" s="49"/>
      <c r="S1785" s="49"/>
      <c r="T1785" s="49"/>
      <c r="U1785" s="49"/>
      <c r="V1785" s="49"/>
      <c r="W1785" s="49"/>
      <c r="X1785" s="49"/>
      <c r="Y1785" s="49"/>
      <c r="Z1785" s="49"/>
      <c r="AA1785" s="49"/>
      <c r="AB1785" s="49"/>
      <c r="AC1785" s="49"/>
    </row>
    <row r="1786" spans="1:29">
      <c r="C1786" s="48"/>
      <c r="D1786" s="48">
        <f t="shared" si="130"/>
        <v>8</v>
      </c>
      <c r="E1786" s="48" t="s">
        <v>6</v>
      </c>
      <c r="F1786" s="6">
        <f t="shared" si="131"/>
        <v>3</v>
      </c>
      <c r="G1786" s="36" t="s">
        <v>207</v>
      </c>
      <c r="H1786" s="6">
        <f>H1785</f>
        <v>2000</v>
      </c>
      <c r="I1786" s="6">
        <f>I1785+1400</f>
        <v>9900</v>
      </c>
      <c r="J1786" s="50"/>
      <c r="P1786" s="48"/>
      <c r="Q1786" s="48"/>
      <c r="R1786" s="48"/>
      <c r="S1786" s="48"/>
      <c r="T1786" s="48"/>
      <c r="U1786" s="48"/>
      <c r="V1786" s="49"/>
      <c r="W1786" s="49"/>
      <c r="X1786" s="49"/>
      <c r="Y1786" s="49"/>
      <c r="Z1786" s="49"/>
      <c r="AA1786" s="49"/>
      <c r="AB1786" s="49"/>
      <c r="AC1786" s="49"/>
    </row>
    <row r="1787" spans="1:29">
      <c r="C1787" s="48"/>
      <c r="D1787" s="48">
        <f t="shared" si="130"/>
        <v>8</v>
      </c>
      <c r="E1787" s="48" t="s">
        <v>6</v>
      </c>
      <c r="F1787" s="6">
        <f t="shared" si="131"/>
        <v>4</v>
      </c>
      <c r="G1787" s="36" t="s">
        <v>208</v>
      </c>
      <c r="H1787" s="6">
        <f>H1783+300</f>
        <v>2900</v>
      </c>
      <c r="I1787" s="6">
        <v>5700</v>
      </c>
      <c r="J1787" s="50"/>
      <c r="P1787" s="48"/>
      <c r="Q1787" s="48"/>
      <c r="R1787" s="48"/>
      <c r="S1787" s="48"/>
      <c r="T1787" s="48"/>
      <c r="U1787" s="48"/>
      <c r="V1787" s="49"/>
      <c r="W1787" s="49"/>
      <c r="X1787" s="49"/>
      <c r="Y1787" s="49"/>
      <c r="Z1787" s="49"/>
      <c r="AA1787" s="49"/>
      <c r="AB1787" s="49"/>
      <c r="AC1787" s="49"/>
    </row>
    <row r="1788" spans="1:29">
      <c r="C1788" s="48"/>
      <c r="D1788" s="48">
        <f t="shared" si="130"/>
        <v>8</v>
      </c>
      <c r="E1788" s="48" t="s">
        <v>6</v>
      </c>
      <c r="F1788" s="6">
        <f t="shared" si="131"/>
        <v>4</v>
      </c>
      <c r="G1788" s="36" t="s">
        <v>208</v>
      </c>
      <c r="H1788" s="6">
        <f t="shared" ref="H1788:H1794" si="132">H1784+300</f>
        <v>2900</v>
      </c>
      <c r="I1788" s="6">
        <f>I1787+1400</f>
        <v>7100</v>
      </c>
      <c r="P1788" s="48"/>
      <c r="Q1788" s="48"/>
      <c r="R1788" s="48"/>
      <c r="S1788" s="48"/>
      <c r="T1788" s="48"/>
      <c r="U1788" s="48"/>
      <c r="V1788" s="49"/>
      <c r="W1788" s="49"/>
      <c r="X1788" s="49"/>
      <c r="Y1788" s="49"/>
      <c r="Z1788" s="49"/>
      <c r="AA1788" s="49"/>
      <c r="AB1788" s="49"/>
      <c r="AC1788" s="49"/>
    </row>
    <row r="1789" spans="1:29">
      <c r="C1789" s="48"/>
      <c r="D1789" s="48">
        <f t="shared" si="130"/>
        <v>8</v>
      </c>
      <c r="E1789" s="48" t="s">
        <v>6</v>
      </c>
      <c r="F1789" s="6">
        <f t="shared" si="131"/>
        <v>4</v>
      </c>
      <c r="G1789" s="36" t="s">
        <v>208</v>
      </c>
      <c r="H1789" s="6">
        <f t="shared" si="132"/>
        <v>2300</v>
      </c>
      <c r="I1789" s="6">
        <f>I1788+1400</f>
        <v>8500</v>
      </c>
      <c r="P1789" s="48"/>
      <c r="Q1789" s="48"/>
      <c r="R1789" s="48"/>
      <c r="S1789" s="48"/>
      <c r="T1789" s="48"/>
      <c r="U1789" s="48"/>
      <c r="V1789" s="49"/>
      <c r="W1789" s="49"/>
      <c r="X1789" s="49"/>
      <c r="Y1789" s="49"/>
      <c r="Z1789" s="49"/>
      <c r="AA1789" s="49"/>
      <c r="AB1789" s="49"/>
      <c r="AC1789" s="49"/>
    </row>
    <row r="1790" spans="1:29">
      <c r="C1790" s="48"/>
      <c r="D1790" s="48">
        <f t="shared" si="130"/>
        <v>8</v>
      </c>
      <c r="E1790" s="48" t="s">
        <v>6</v>
      </c>
      <c r="F1790" s="6">
        <f t="shared" si="131"/>
        <v>4</v>
      </c>
      <c r="G1790" s="36" t="s">
        <v>209</v>
      </c>
      <c r="H1790" s="6">
        <f t="shared" si="132"/>
        <v>2300</v>
      </c>
      <c r="I1790" s="6">
        <f>I1789+1400</f>
        <v>9900</v>
      </c>
      <c r="P1790" s="48"/>
      <c r="Q1790" s="48"/>
      <c r="R1790" s="48"/>
      <c r="S1790" s="48"/>
      <c r="T1790" s="48"/>
      <c r="U1790" s="48"/>
      <c r="V1790" s="49"/>
      <c r="W1790" s="49"/>
      <c r="X1790" s="49"/>
      <c r="Y1790" s="49"/>
      <c r="Z1790" s="49"/>
      <c r="AA1790" s="49"/>
      <c r="AB1790" s="49"/>
      <c r="AC1790" s="49"/>
    </row>
    <row r="1791" spans="1:29">
      <c r="C1791" s="49"/>
      <c r="D1791" s="48">
        <f t="shared" si="130"/>
        <v>9</v>
      </c>
      <c r="E1791" s="48" t="s">
        <v>6</v>
      </c>
      <c r="F1791" s="6">
        <f t="shared" si="131"/>
        <v>5</v>
      </c>
      <c r="G1791" s="36" t="s">
        <v>213</v>
      </c>
      <c r="H1791" s="6">
        <f t="shared" si="132"/>
        <v>3200</v>
      </c>
      <c r="I1791" s="6">
        <v>5700</v>
      </c>
      <c r="J1791" s="50"/>
      <c r="K1791" s="50"/>
      <c r="L1791" s="50"/>
      <c r="M1791" s="50"/>
      <c r="N1791" s="50"/>
      <c r="O1791" s="50"/>
      <c r="P1791" s="49"/>
      <c r="Q1791" s="49"/>
      <c r="R1791" s="49"/>
      <c r="S1791" s="49"/>
      <c r="T1791" s="49"/>
      <c r="U1791" s="49"/>
      <c r="V1791" s="49"/>
      <c r="W1791" s="49"/>
      <c r="X1791" s="49"/>
      <c r="Y1791" s="49"/>
      <c r="Z1791" s="49"/>
      <c r="AA1791" s="49"/>
      <c r="AB1791" s="49"/>
      <c r="AC1791" s="49"/>
    </row>
    <row r="1792" spans="1:29">
      <c r="A1792" s="2"/>
      <c r="B1792" s="2"/>
      <c r="C1792" s="49"/>
      <c r="D1792" s="48">
        <f t="shared" si="130"/>
        <v>9</v>
      </c>
      <c r="E1792" s="48" t="s">
        <v>6</v>
      </c>
      <c r="F1792" s="6">
        <f t="shared" si="131"/>
        <v>5</v>
      </c>
      <c r="G1792" s="36" t="s">
        <v>212</v>
      </c>
      <c r="H1792" s="6">
        <f t="shared" si="132"/>
        <v>3200</v>
      </c>
      <c r="I1792" s="6">
        <f>I1791+1400</f>
        <v>7100</v>
      </c>
      <c r="J1792" s="50"/>
      <c r="K1792" s="50"/>
      <c r="L1792" s="50"/>
      <c r="M1792" s="50"/>
      <c r="N1792" s="50"/>
      <c r="O1792" s="50"/>
      <c r="P1792" s="49"/>
      <c r="Q1792" s="49"/>
      <c r="R1792" s="49"/>
      <c r="S1792" s="49"/>
      <c r="T1792" s="49"/>
      <c r="U1792" s="49"/>
      <c r="V1792" s="49"/>
      <c r="W1792" s="49"/>
      <c r="X1792" s="49"/>
      <c r="Y1792" s="49"/>
      <c r="Z1792" s="49"/>
      <c r="AA1792" s="49"/>
      <c r="AB1792" s="49"/>
      <c r="AC1792" s="49"/>
    </row>
    <row r="1793" spans="1:29">
      <c r="A1793" s="2"/>
      <c r="B1793" s="2"/>
      <c r="C1793" s="49"/>
      <c r="D1793" s="48">
        <f t="shared" si="130"/>
        <v>8</v>
      </c>
      <c r="E1793" s="48" t="s">
        <v>6</v>
      </c>
      <c r="F1793" s="6">
        <f t="shared" si="131"/>
        <v>3</v>
      </c>
      <c r="G1793" s="36" t="s">
        <v>211</v>
      </c>
      <c r="H1793" s="6">
        <f t="shared" si="132"/>
        <v>2600</v>
      </c>
      <c r="I1793" s="6">
        <f>I1792+1400</f>
        <v>8500</v>
      </c>
      <c r="J1793" s="50"/>
      <c r="K1793" s="50"/>
      <c r="L1793" s="50"/>
      <c r="M1793" s="50"/>
      <c r="N1793" s="50"/>
      <c r="O1793" s="50"/>
      <c r="P1793" s="49"/>
      <c r="Q1793" s="49"/>
      <c r="R1793" s="49"/>
      <c r="S1793" s="49"/>
      <c r="T1793" s="49"/>
      <c r="U1793" s="49"/>
      <c r="V1793" s="49"/>
      <c r="W1793" s="49"/>
      <c r="X1793" s="49"/>
      <c r="Y1793" s="49"/>
      <c r="Z1793" s="49"/>
      <c r="AA1793" s="49"/>
      <c r="AB1793" s="49"/>
      <c r="AC1793" s="49"/>
    </row>
    <row r="1794" spans="1:29">
      <c r="A1794" s="2"/>
      <c r="B1794" s="2"/>
      <c r="C1794" s="49"/>
      <c r="D1794" s="48">
        <f t="shared" si="130"/>
        <v>8</v>
      </c>
      <c r="E1794" s="48" t="s">
        <v>6</v>
      </c>
      <c r="F1794" s="6">
        <f t="shared" si="131"/>
        <v>3</v>
      </c>
      <c r="G1794" s="36" t="s">
        <v>210</v>
      </c>
      <c r="H1794" s="6">
        <f t="shared" si="132"/>
        <v>2600</v>
      </c>
      <c r="I1794" s="6">
        <f>I1793+1400</f>
        <v>9900</v>
      </c>
      <c r="J1794" s="50"/>
      <c r="K1794" s="50"/>
      <c r="L1794" s="50"/>
      <c r="M1794" s="50"/>
      <c r="N1794" s="50"/>
      <c r="O1794" s="50"/>
      <c r="P1794" s="49"/>
      <c r="Q1794" s="49"/>
      <c r="R1794" s="49"/>
      <c r="S1794" s="49"/>
      <c r="T1794" s="49"/>
      <c r="U1794" s="49"/>
      <c r="V1794" s="49"/>
      <c r="W1794" s="49"/>
      <c r="X1794" s="49"/>
      <c r="Y1794" s="49"/>
      <c r="Z1794" s="49"/>
      <c r="AA1794" s="49"/>
      <c r="AB1794" s="49"/>
      <c r="AC1794" s="49"/>
    </row>
    <row r="1795" spans="1:29">
      <c r="A1795" s="2"/>
      <c r="B1795" s="2"/>
      <c r="C1795" s="49"/>
      <c r="D1795" s="48">
        <f t="shared" si="130"/>
        <v>8</v>
      </c>
      <c r="E1795" s="48" t="s">
        <v>6</v>
      </c>
      <c r="F1795" s="6">
        <f t="shared" si="131"/>
        <v>3</v>
      </c>
      <c r="G1795" s="36" t="s">
        <v>207</v>
      </c>
      <c r="H1795" s="6">
        <v>5200</v>
      </c>
      <c r="I1795" s="6">
        <v>8500</v>
      </c>
      <c r="J1795" s="50"/>
      <c r="K1795" s="50"/>
      <c r="L1795" s="50"/>
      <c r="M1795" s="50"/>
      <c r="N1795" s="50"/>
      <c r="O1795" s="50"/>
      <c r="P1795" s="49"/>
      <c r="Q1795" s="49"/>
      <c r="R1795" s="49"/>
      <c r="S1795" s="49"/>
      <c r="T1795" s="49"/>
      <c r="U1795" s="49"/>
      <c r="V1795" s="49"/>
      <c r="W1795" s="49"/>
      <c r="X1795" s="49"/>
      <c r="Y1795" s="49"/>
      <c r="Z1795" s="49"/>
      <c r="AA1795" s="49"/>
      <c r="AB1795" s="49"/>
      <c r="AC1795" s="49"/>
    </row>
    <row r="1796" spans="1:29">
      <c r="A1796" s="2"/>
      <c r="B1796" s="2"/>
      <c r="C1796" s="49"/>
      <c r="D1796" s="48">
        <f t="shared" si="130"/>
        <v>8</v>
      </c>
      <c r="E1796" s="48" t="s">
        <v>6</v>
      </c>
      <c r="F1796" s="6">
        <f t="shared" si="131"/>
        <v>4</v>
      </c>
      <c r="G1796" s="36" t="s">
        <v>209</v>
      </c>
      <c r="H1796" s="6">
        <f>H1795+300</f>
        <v>5500</v>
      </c>
      <c r="I1796" s="6">
        <f>I1795</f>
        <v>8500</v>
      </c>
      <c r="J1796" s="50"/>
      <c r="K1796" s="50"/>
      <c r="L1796" s="50"/>
      <c r="M1796" s="50"/>
      <c r="N1796" s="50"/>
      <c r="O1796" s="50"/>
      <c r="P1796" s="49"/>
      <c r="Q1796" s="49"/>
      <c r="R1796" s="49"/>
      <c r="S1796" s="49"/>
      <c r="T1796" s="49"/>
      <c r="U1796" s="49"/>
      <c r="V1796" s="49"/>
      <c r="W1796" s="49"/>
      <c r="X1796" s="49"/>
      <c r="Y1796" s="49"/>
      <c r="Z1796" s="49"/>
      <c r="AA1796" s="49"/>
      <c r="AB1796" s="49"/>
      <c r="AC1796" s="49"/>
    </row>
    <row r="1797" spans="1:29">
      <c r="A1797" s="2"/>
      <c r="B1797" s="2"/>
      <c r="C1797" s="49"/>
      <c r="D1797" s="48">
        <f t="shared" si="130"/>
        <v>8</v>
      </c>
      <c r="E1797" s="48" t="s">
        <v>6</v>
      </c>
      <c r="F1797" s="6">
        <f t="shared" si="131"/>
        <v>3</v>
      </c>
      <c r="G1797" s="36" t="s">
        <v>214</v>
      </c>
      <c r="H1797" s="6">
        <f>H1796+300</f>
        <v>5800</v>
      </c>
      <c r="I1797" s="6">
        <f>I1796</f>
        <v>8500</v>
      </c>
      <c r="J1797" s="50"/>
      <c r="K1797" s="50"/>
      <c r="L1797" s="50"/>
      <c r="M1797" s="50"/>
      <c r="N1797" s="50"/>
      <c r="O1797" s="50"/>
      <c r="P1797" s="49"/>
      <c r="Q1797" s="49"/>
      <c r="R1797" s="49"/>
      <c r="S1797" s="49"/>
      <c r="T1797" s="49"/>
      <c r="U1797" s="49"/>
      <c r="V1797" s="49"/>
      <c r="W1797" s="49"/>
      <c r="X1797" s="49"/>
      <c r="Y1797" s="49"/>
      <c r="Z1797" s="49"/>
      <c r="AA1797" s="49"/>
      <c r="AB1797" s="49"/>
      <c r="AC1797" s="49"/>
    </row>
    <row r="1798" spans="1:29">
      <c r="A1798" s="2"/>
      <c r="B1798" s="2"/>
      <c r="C1798" s="49"/>
      <c r="D1798" s="48">
        <f t="shared" si="130"/>
        <v>8</v>
      </c>
      <c r="E1798" s="48" t="s">
        <v>6</v>
      </c>
      <c r="F1798" s="6">
        <f t="shared" si="131"/>
        <v>3</v>
      </c>
      <c r="G1798" s="36" t="s">
        <v>207</v>
      </c>
      <c r="H1798" s="6">
        <v>5200</v>
      </c>
      <c r="I1798" s="6">
        <v>9900</v>
      </c>
      <c r="J1798" s="50"/>
      <c r="K1798" s="50"/>
      <c r="L1798" s="50"/>
      <c r="M1798" s="50"/>
      <c r="N1798" s="50"/>
      <c r="O1798" s="50"/>
      <c r="P1798" s="49"/>
      <c r="Q1798" s="49"/>
      <c r="R1798" s="49"/>
      <c r="S1798" s="49"/>
      <c r="T1798" s="49"/>
      <c r="U1798" s="49"/>
      <c r="V1798" s="49"/>
      <c r="W1798" s="49"/>
      <c r="X1798" s="49"/>
      <c r="Y1798" s="49"/>
      <c r="Z1798" s="49"/>
      <c r="AA1798" s="49"/>
      <c r="AB1798" s="49"/>
      <c r="AC1798" s="49"/>
    </row>
    <row r="1799" spans="1:29">
      <c r="A1799" s="2"/>
      <c r="B1799" s="2"/>
      <c r="C1799" s="49"/>
      <c r="D1799" s="48">
        <f t="shared" si="130"/>
        <v>8</v>
      </c>
      <c r="E1799" s="48" t="s">
        <v>6</v>
      </c>
      <c r="F1799" s="6">
        <f t="shared" si="131"/>
        <v>4</v>
      </c>
      <c r="G1799" s="36" t="s">
        <v>209</v>
      </c>
      <c r="H1799" s="6">
        <f>H1798+300</f>
        <v>5500</v>
      </c>
      <c r="I1799" s="6">
        <f>I1798</f>
        <v>9900</v>
      </c>
      <c r="J1799" s="50"/>
      <c r="K1799" s="50"/>
      <c r="L1799" s="50"/>
      <c r="M1799" s="50"/>
      <c r="N1799" s="50"/>
      <c r="O1799" s="50"/>
      <c r="P1799" s="49"/>
      <c r="Q1799" s="49"/>
      <c r="R1799" s="49"/>
      <c r="S1799" s="49"/>
      <c r="T1799" s="49"/>
      <c r="U1799" s="49"/>
      <c r="V1799" s="49"/>
      <c r="W1799" s="49"/>
      <c r="X1799" s="49"/>
      <c r="Y1799" s="49"/>
      <c r="Z1799" s="49"/>
      <c r="AA1799" s="49"/>
      <c r="AB1799" s="49"/>
      <c r="AC1799" s="49"/>
    </row>
    <row r="1800" spans="1:29">
      <c r="A1800" s="2"/>
      <c r="B1800" s="2"/>
      <c r="C1800" s="49"/>
      <c r="D1800" s="48">
        <f t="shared" si="130"/>
        <v>8</v>
      </c>
      <c r="E1800" s="48" t="s">
        <v>6</v>
      </c>
      <c r="F1800" s="6">
        <f t="shared" si="131"/>
        <v>3</v>
      </c>
      <c r="G1800" s="36" t="s">
        <v>210</v>
      </c>
      <c r="H1800" s="6">
        <f>H1799+300</f>
        <v>5800</v>
      </c>
      <c r="I1800" s="6">
        <f>I1799</f>
        <v>9900</v>
      </c>
      <c r="J1800" s="50"/>
      <c r="K1800" s="50"/>
      <c r="L1800" s="50"/>
      <c r="M1800" s="50"/>
      <c r="N1800" s="50"/>
      <c r="O1800" s="50"/>
      <c r="P1800" s="49"/>
      <c r="Q1800" s="49"/>
      <c r="R1800" s="49"/>
      <c r="S1800" s="49"/>
      <c r="T1800" s="49"/>
      <c r="U1800" s="49"/>
      <c r="V1800" s="49"/>
      <c r="W1800" s="49"/>
      <c r="X1800" s="49"/>
      <c r="Y1800" s="49"/>
      <c r="Z1800" s="49"/>
      <c r="AA1800" s="49"/>
      <c r="AB1800" s="49"/>
      <c r="AC1800" s="49"/>
    </row>
    <row r="1801" spans="1:29">
      <c r="A1801" s="2"/>
      <c r="B1801" s="2"/>
      <c r="C1801" s="49"/>
      <c r="D1801" s="48">
        <f t="shared" si="130"/>
        <v>8</v>
      </c>
      <c r="E1801" s="48" t="s">
        <v>6</v>
      </c>
      <c r="F1801" s="6">
        <f t="shared" si="131"/>
        <v>3</v>
      </c>
      <c r="G1801" s="37" t="s">
        <v>215</v>
      </c>
      <c r="H1801" s="6">
        <v>3750</v>
      </c>
      <c r="I1801" s="6">
        <v>8000</v>
      </c>
      <c r="J1801" s="50"/>
      <c r="K1801" s="50"/>
      <c r="L1801" s="50"/>
      <c r="M1801" s="50"/>
      <c r="N1801" s="50"/>
      <c r="O1801" s="50"/>
      <c r="P1801" s="49"/>
      <c r="Q1801" s="49"/>
      <c r="R1801" s="49"/>
      <c r="S1801" s="49"/>
      <c r="T1801" s="49"/>
      <c r="U1801" s="49"/>
      <c r="V1801" s="49"/>
      <c r="W1801" s="49"/>
      <c r="X1801" s="49"/>
      <c r="Y1801" s="49"/>
      <c r="Z1801" s="49"/>
      <c r="AA1801" s="49"/>
      <c r="AB1801" s="49"/>
      <c r="AC1801" s="49"/>
    </row>
    <row r="1802" spans="1:29">
      <c r="A1802" s="2"/>
      <c r="B1802" s="2"/>
      <c r="C1802" s="49"/>
      <c r="D1802" s="48">
        <f t="shared" si="130"/>
        <v>8</v>
      </c>
      <c r="E1802" s="48" t="s">
        <v>6</v>
      </c>
      <c r="F1802" s="6">
        <f t="shared" si="131"/>
        <v>3</v>
      </c>
      <c r="G1802" s="37" t="s">
        <v>215</v>
      </c>
      <c r="H1802" s="6">
        <v>4150</v>
      </c>
      <c r="I1802" s="6">
        <v>8000</v>
      </c>
      <c r="J1802" s="50"/>
      <c r="K1802" s="50"/>
      <c r="L1802" s="50"/>
      <c r="M1802" s="50"/>
      <c r="N1802" s="50"/>
      <c r="O1802" s="50"/>
      <c r="P1802" s="49"/>
      <c r="Q1802" s="49"/>
      <c r="R1802" s="49"/>
      <c r="S1802" s="49"/>
      <c r="T1802" s="49"/>
      <c r="U1802" s="49"/>
      <c r="V1802" s="49"/>
      <c r="W1802" s="49"/>
      <c r="X1802" s="49"/>
      <c r="Y1802" s="49"/>
      <c r="Z1802" s="49"/>
      <c r="AA1802" s="49"/>
      <c r="AB1802" s="49"/>
      <c r="AC1802" s="49"/>
    </row>
    <row r="1805" spans="1:29">
      <c r="A1805" s="48" t="s">
        <v>383</v>
      </c>
      <c r="B1805" s="1" t="s">
        <v>799</v>
      </c>
      <c r="C1805" s="48"/>
      <c r="D1805" s="48" t="s">
        <v>449</v>
      </c>
      <c r="E1805" s="48">
        <v>52695</v>
      </c>
      <c r="F1805" s="6">
        <v>39622</v>
      </c>
      <c r="G1805" s="6">
        <v>0</v>
      </c>
      <c r="H1805" s="6">
        <v>0</v>
      </c>
      <c r="I1805" s="6">
        <v>0</v>
      </c>
      <c r="J1805" s="6">
        <v>12000</v>
      </c>
      <c r="K1805" s="6">
        <v>10300</v>
      </c>
      <c r="L1805" s="6">
        <v>1920</v>
      </c>
      <c r="M1805" s="6">
        <v>0</v>
      </c>
      <c r="N1805" s="6">
        <v>0</v>
      </c>
      <c r="O1805" s="6" t="e">
        <f ca="1">checksummeint(G1805,H1805,I1805,J1805,K1805,L1805,M1805,N1805)</f>
        <v>#NAME?</v>
      </c>
      <c r="P1805" s="48"/>
      <c r="Q1805" s="48"/>
      <c r="R1805" s="48"/>
      <c r="S1805" s="48"/>
      <c r="T1805" s="49"/>
      <c r="U1805" s="49"/>
      <c r="V1805" s="49"/>
      <c r="W1805" s="49"/>
      <c r="X1805" s="49"/>
      <c r="Y1805" s="49"/>
      <c r="Z1805" s="48"/>
      <c r="AA1805" s="48"/>
      <c r="AB1805" s="49"/>
      <c r="AC1805" s="49"/>
    </row>
    <row r="1806" spans="1:29">
      <c r="A1806" s="1"/>
      <c r="B1806" s="48"/>
      <c r="C1806" s="48">
        <v>0</v>
      </c>
      <c r="D1806" s="48">
        <v>28</v>
      </c>
      <c r="E1806" s="48" t="s">
        <v>12</v>
      </c>
      <c r="F1806" s="6">
        <v>360</v>
      </c>
      <c r="G1806" s="6">
        <v>0</v>
      </c>
      <c r="H1806" s="6">
        <v>0</v>
      </c>
      <c r="I1806" s="6">
        <v>0</v>
      </c>
      <c r="J1806" s="6">
        <v>400</v>
      </c>
      <c r="K1806" s="6">
        <v>0</v>
      </c>
      <c r="L1806" s="6">
        <v>0</v>
      </c>
      <c r="M1806" s="6">
        <v>0</v>
      </c>
      <c r="N1806" s="6">
        <v>0</v>
      </c>
      <c r="O1806" s="6" t="s">
        <v>19</v>
      </c>
      <c r="P1806" s="48"/>
      <c r="Q1806" s="48"/>
      <c r="R1806" s="48"/>
      <c r="S1806" s="48"/>
      <c r="T1806" s="49"/>
      <c r="U1806" s="49"/>
      <c r="V1806" s="49"/>
      <c r="W1806" s="49"/>
      <c r="X1806" s="49"/>
      <c r="Y1806" s="49"/>
      <c r="Z1806" s="48"/>
      <c r="AA1806" s="48"/>
      <c r="AB1806" s="49"/>
      <c r="AC1806" s="49"/>
    </row>
    <row r="1807" spans="1:29">
      <c r="A1807" s="48"/>
      <c r="B1807" s="48"/>
      <c r="C1807" s="48">
        <v>1</v>
      </c>
      <c r="D1807" s="48">
        <v>28</v>
      </c>
      <c r="E1807" s="48" t="s">
        <v>12</v>
      </c>
      <c r="F1807" s="6">
        <v>720</v>
      </c>
      <c r="G1807" s="6">
        <v>0</v>
      </c>
      <c r="H1807" s="6">
        <v>0</v>
      </c>
      <c r="I1807" s="6">
        <v>0</v>
      </c>
      <c r="J1807" s="6">
        <v>700</v>
      </c>
      <c r="K1807" s="6">
        <v>0</v>
      </c>
      <c r="L1807" s="6">
        <v>0</v>
      </c>
      <c r="M1807" s="6">
        <v>0</v>
      </c>
      <c r="N1807" s="6">
        <v>0</v>
      </c>
      <c r="O1807" s="6" t="s">
        <v>19</v>
      </c>
      <c r="P1807" s="49"/>
      <c r="Q1807" s="48"/>
      <c r="R1807" s="48"/>
      <c r="S1807" s="48"/>
      <c r="T1807" s="49"/>
      <c r="U1807" s="49"/>
      <c r="V1807" s="49"/>
      <c r="W1807" s="49"/>
      <c r="X1807" s="49"/>
      <c r="Y1807" s="49"/>
      <c r="Z1807" s="48"/>
      <c r="AA1807" s="48"/>
      <c r="AB1807" s="49"/>
      <c r="AC1807" s="49"/>
    </row>
    <row r="1808" spans="1:29">
      <c r="A1808" s="48"/>
      <c r="B1808" s="48"/>
      <c r="C1808" s="48">
        <v>2</v>
      </c>
      <c r="D1808" s="48">
        <v>28</v>
      </c>
      <c r="E1808" s="48" t="s">
        <v>12</v>
      </c>
      <c r="F1808" s="6">
        <v>640</v>
      </c>
      <c r="G1808" s="6">
        <v>0</v>
      </c>
      <c r="H1808" s="6">
        <v>0</v>
      </c>
      <c r="I1808" s="6">
        <v>0</v>
      </c>
      <c r="J1808" s="6">
        <v>400</v>
      </c>
      <c r="K1808" s="6">
        <v>0</v>
      </c>
      <c r="L1808" s="6">
        <v>0</v>
      </c>
      <c r="M1808" s="6">
        <v>0</v>
      </c>
      <c r="N1808" s="6">
        <v>0</v>
      </c>
      <c r="O1808" s="6" t="s">
        <v>200</v>
      </c>
      <c r="P1808" s="48"/>
      <c r="Q1808" s="48"/>
      <c r="R1808" s="48"/>
      <c r="S1808" s="48"/>
      <c r="T1808" s="49"/>
      <c r="U1808" s="49"/>
      <c r="V1808" s="49"/>
      <c r="W1808" s="49"/>
      <c r="X1808" s="49"/>
      <c r="Y1808" s="49"/>
      <c r="Z1808" s="48"/>
      <c r="AA1808" s="48"/>
      <c r="AB1808" s="49"/>
      <c r="AC1808" s="49"/>
    </row>
    <row r="1809" spans="1:29">
      <c r="A1809" s="48"/>
      <c r="B1809" s="48"/>
      <c r="C1809" s="48">
        <v>3</v>
      </c>
      <c r="D1809" s="48">
        <v>8</v>
      </c>
      <c r="E1809" s="48" t="s">
        <v>14</v>
      </c>
      <c r="F1809" s="6">
        <v>0</v>
      </c>
      <c r="G1809" s="6">
        <v>16</v>
      </c>
      <c r="H1809" s="6">
        <v>0</v>
      </c>
      <c r="I1809" s="6">
        <v>0</v>
      </c>
      <c r="J1809" s="6">
        <v>0</v>
      </c>
      <c r="M1809" s="44"/>
      <c r="N1809" s="45"/>
      <c r="O1809" s="46"/>
      <c r="P1809" s="48"/>
      <c r="Q1809" s="48"/>
      <c r="R1809" s="48"/>
      <c r="S1809" s="48"/>
      <c r="T1809" s="49"/>
      <c r="U1809" s="49"/>
      <c r="V1809" s="49"/>
      <c r="W1809" s="49"/>
      <c r="X1809" s="49"/>
      <c r="Y1809" s="49"/>
      <c r="Z1809" s="48"/>
      <c r="AA1809" s="48"/>
      <c r="AB1809" s="49"/>
      <c r="AC1809" s="49"/>
    </row>
    <row r="1810" spans="1:29">
      <c r="A1810" s="48"/>
      <c r="B1810" s="48"/>
      <c r="C1810" s="48">
        <v>4</v>
      </c>
      <c r="D1810" s="48">
        <v>8</v>
      </c>
      <c r="E1810" s="48" t="s">
        <v>14</v>
      </c>
      <c r="F1810" s="6">
        <v>0</v>
      </c>
      <c r="G1810" s="6">
        <v>160</v>
      </c>
      <c r="H1810" s="6">
        <v>0</v>
      </c>
      <c r="I1810" s="6">
        <f>256*192+255</f>
        <v>49407</v>
      </c>
      <c r="J1810" s="6">
        <v>192</v>
      </c>
      <c r="P1810" s="48"/>
      <c r="Q1810" s="48"/>
      <c r="R1810" s="48"/>
      <c r="S1810" s="48"/>
      <c r="T1810" s="49"/>
      <c r="U1810" s="49"/>
      <c r="V1810" s="49"/>
      <c r="W1810" s="49"/>
      <c r="X1810" s="49"/>
      <c r="Y1810" s="49"/>
      <c r="Z1810" s="48"/>
      <c r="AA1810" s="48"/>
      <c r="AB1810" s="49"/>
      <c r="AC1810" s="49"/>
    </row>
    <row r="1811" spans="1:29">
      <c r="A1811" s="48"/>
      <c r="B1811" s="48"/>
      <c r="C1811" s="49">
        <v>5</v>
      </c>
      <c r="D1811" s="48">
        <v>8</v>
      </c>
      <c r="E1811" s="48" t="s">
        <v>14</v>
      </c>
      <c r="F1811" s="6">
        <v>0</v>
      </c>
      <c r="G1811" s="6">
        <v>160</v>
      </c>
      <c r="H1811" s="6">
        <v>0</v>
      </c>
      <c r="I1811" s="6">
        <f>257*192</f>
        <v>49344</v>
      </c>
      <c r="J1811" s="6">
        <v>255</v>
      </c>
      <c r="P1811" s="48"/>
      <c r="Q1811" s="48"/>
      <c r="R1811" s="48"/>
      <c r="S1811" s="48"/>
      <c r="T1811" s="49"/>
      <c r="U1811" s="49"/>
      <c r="V1811" s="49"/>
      <c r="W1811" s="49"/>
      <c r="X1811" s="49"/>
      <c r="Y1811" s="49"/>
      <c r="Z1811" s="48"/>
      <c r="AA1811" s="48"/>
      <c r="AB1811" s="49"/>
      <c r="AC1811" s="49"/>
    </row>
    <row r="1812" spans="1:29">
      <c r="A1812" s="48"/>
      <c r="B1812" s="48"/>
      <c r="C1812" s="49">
        <v>6</v>
      </c>
      <c r="D1812" s="48">
        <v>7</v>
      </c>
      <c r="E1812" s="48" t="s">
        <v>11</v>
      </c>
      <c r="F1812" s="6">
        <v>0</v>
      </c>
      <c r="G1812" s="6">
        <f>256*192+255</f>
        <v>49407</v>
      </c>
      <c r="H1812" s="6">
        <v>192</v>
      </c>
      <c r="I1812" s="6">
        <v>0</v>
      </c>
      <c r="P1812" s="48"/>
      <c r="Q1812" s="48"/>
      <c r="R1812" s="48"/>
      <c r="S1812" s="48"/>
      <c r="T1812" s="49"/>
      <c r="U1812" s="49"/>
      <c r="V1812" s="49"/>
      <c r="W1812" s="49"/>
      <c r="X1812" s="49"/>
      <c r="Y1812" s="49"/>
      <c r="Z1812" s="48"/>
      <c r="AA1812" s="48"/>
      <c r="AB1812" s="49"/>
      <c r="AC1812" s="49"/>
    </row>
    <row r="1813" spans="1:29">
      <c r="A1813" s="48"/>
      <c r="B1813" s="48"/>
      <c r="C1813" s="49">
        <v>7</v>
      </c>
      <c r="D1813" s="48">
        <v>7</v>
      </c>
      <c r="E1813" s="48" t="s">
        <v>11</v>
      </c>
      <c r="F1813" s="6">
        <v>0</v>
      </c>
      <c r="G1813" s="6">
        <f>257*192</f>
        <v>49344</v>
      </c>
      <c r="H1813" s="6">
        <v>255</v>
      </c>
      <c r="I1813" s="6">
        <v>0</v>
      </c>
      <c r="J1813" s="50"/>
      <c r="K1813" s="50"/>
      <c r="L1813" s="50"/>
      <c r="M1813" s="50"/>
      <c r="N1813" s="50"/>
      <c r="O1813" s="50"/>
      <c r="P1813" s="48"/>
      <c r="Q1813" s="48"/>
      <c r="R1813" s="48"/>
      <c r="S1813" s="48"/>
      <c r="T1813" s="49"/>
      <c r="U1813" s="49"/>
      <c r="V1813" s="49"/>
      <c r="W1813" s="49"/>
      <c r="X1813" s="49"/>
      <c r="Y1813" s="49"/>
      <c r="Z1813" s="48"/>
      <c r="AA1813" s="48"/>
      <c r="AB1813" s="49"/>
      <c r="AC1813" s="49"/>
    </row>
    <row r="1814" spans="1:29">
      <c r="A1814" s="48"/>
      <c r="B1814" s="48"/>
      <c r="C1814" s="49">
        <v>8</v>
      </c>
      <c r="D1814" s="48">
        <v>7</v>
      </c>
      <c r="E1814" s="48" t="s">
        <v>11</v>
      </c>
      <c r="F1814" s="6">
        <v>0</v>
      </c>
      <c r="G1814" s="6">
        <v>0</v>
      </c>
      <c r="H1814" s="6">
        <v>0</v>
      </c>
      <c r="I1814" s="6">
        <v>0</v>
      </c>
      <c r="P1814" s="48"/>
      <c r="Q1814" s="48"/>
      <c r="R1814" s="48"/>
      <c r="S1814" s="48"/>
      <c r="T1814" s="49"/>
      <c r="U1814" s="49"/>
      <c r="V1814" s="49"/>
      <c r="W1814" s="49"/>
      <c r="X1814" s="49"/>
      <c r="Y1814" s="49"/>
      <c r="Z1814" s="48"/>
      <c r="AA1814" s="48"/>
      <c r="AB1814" s="49"/>
      <c r="AC1814" s="49"/>
    </row>
    <row r="1815" spans="1:29">
      <c r="A1815" s="48"/>
      <c r="B1815" s="48"/>
      <c r="C1815" s="49">
        <v>9</v>
      </c>
      <c r="D1815" s="48">
        <v>7</v>
      </c>
      <c r="E1815" s="48" t="s">
        <v>11</v>
      </c>
      <c r="F1815" s="6">
        <v>1</v>
      </c>
      <c r="G1815" s="6">
        <v>0</v>
      </c>
      <c r="H1815" s="6">
        <v>0</v>
      </c>
      <c r="I1815" s="6">
        <v>0</v>
      </c>
      <c r="P1815" s="48"/>
      <c r="Q1815" s="48"/>
      <c r="R1815" s="48"/>
      <c r="S1815" s="48"/>
      <c r="T1815" s="49"/>
      <c r="U1815" s="49"/>
      <c r="V1815" s="49"/>
      <c r="W1815" s="49"/>
      <c r="X1815" s="49"/>
      <c r="Y1815" s="49"/>
      <c r="Z1815" s="48"/>
      <c r="AA1815" s="48"/>
      <c r="AB1815" s="49"/>
      <c r="AC1815" s="49"/>
    </row>
    <row r="1816" spans="1:29">
      <c r="A1816" s="48"/>
      <c r="B1816" s="48"/>
      <c r="C1816" s="49"/>
      <c r="D1816" s="48">
        <v>4</v>
      </c>
      <c r="E1816" s="48" t="s">
        <v>15</v>
      </c>
      <c r="F1816" s="6">
        <v>4</v>
      </c>
      <c r="G1816" s="50"/>
      <c r="H1816" s="50"/>
      <c r="I1816" s="50"/>
      <c r="J1816" s="50"/>
      <c r="K1816" s="50"/>
      <c r="L1816" s="50"/>
      <c r="M1816" s="50"/>
      <c r="N1816" s="50"/>
      <c r="O1816" s="50"/>
      <c r="P1816" s="49"/>
      <c r="Q1816" s="49"/>
      <c r="R1816" s="49"/>
      <c r="S1816" s="48"/>
      <c r="T1816" s="49"/>
      <c r="U1816" s="49"/>
      <c r="V1816" s="49"/>
      <c r="W1816" s="49"/>
      <c r="X1816" s="49"/>
      <c r="Y1816" s="49"/>
      <c r="Z1816" s="48"/>
      <c r="AA1816" s="48"/>
      <c r="AB1816" s="49"/>
      <c r="AC1816" s="49"/>
    </row>
    <row r="1817" spans="1:29">
      <c r="A1817" s="48"/>
      <c r="B1817" s="48"/>
      <c r="C1817" s="49"/>
      <c r="D1817" s="49">
        <f>F1817*2+4</f>
        <v>20</v>
      </c>
      <c r="E1817" s="49" t="s">
        <v>1</v>
      </c>
      <c r="F1817" s="50">
        <v>8</v>
      </c>
      <c r="G1817" s="50">
        <f>B1825+128</f>
        <v>192</v>
      </c>
      <c r="H1817" s="50">
        <f>C1825+256</f>
        <v>3840</v>
      </c>
      <c r="I1817" s="50">
        <f>B1838+384</f>
        <v>2048</v>
      </c>
      <c r="J1817" s="50">
        <f>C1838+256</f>
        <v>3840</v>
      </c>
      <c r="K1817" s="50">
        <f>B1896+384</f>
        <v>3648</v>
      </c>
      <c r="L1817" s="50">
        <f>C1896</f>
        <v>5120</v>
      </c>
      <c r="M1817" s="50">
        <f>B1907+384</f>
        <v>5248</v>
      </c>
      <c r="N1817" s="50">
        <f>C1907</f>
        <v>5120</v>
      </c>
      <c r="O1817" s="50">
        <f>B1921+384</f>
        <v>6848</v>
      </c>
      <c r="P1817" s="49">
        <f>C1921</f>
        <v>3584</v>
      </c>
      <c r="Q1817" s="49">
        <f>B1955+384</f>
        <v>8448</v>
      </c>
      <c r="R1817" s="49">
        <f>C1955</f>
        <v>6656</v>
      </c>
      <c r="S1817" s="49">
        <f>B1976+384</f>
        <v>10048</v>
      </c>
      <c r="T1817" s="49">
        <f>C1976</f>
        <v>6656</v>
      </c>
      <c r="U1817" s="49">
        <f>B1984+128</f>
        <v>11392</v>
      </c>
      <c r="V1817" s="49">
        <f>C1984+128</f>
        <v>5248</v>
      </c>
      <c r="W1817" s="49"/>
      <c r="X1817" s="49"/>
      <c r="Y1817" s="49"/>
      <c r="Z1817" s="48"/>
      <c r="AA1817" s="48"/>
      <c r="AB1817" s="48"/>
      <c r="AC1817" s="48"/>
    </row>
    <row r="1818" spans="1:29">
      <c r="A1818" s="48"/>
      <c r="B1818" s="48"/>
      <c r="C1818" s="49"/>
      <c r="D1818" s="48">
        <v>4</v>
      </c>
      <c r="E1818" s="48" t="s">
        <v>15</v>
      </c>
      <c r="F1818" s="6">
        <v>5</v>
      </c>
      <c r="G1818" s="50"/>
      <c r="H1818" s="50"/>
      <c r="I1818" s="50"/>
      <c r="J1818" s="50"/>
      <c r="K1818" s="50"/>
      <c r="L1818" s="50"/>
      <c r="M1818" s="50"/>
      <c r="N1818" s="50"/>
      <c r="O1818" s="50"/>
      <c r="P1818" s="49"/>
      <c r="Q1818" s="49"/>
      <c r="R1818" s="49"/>
      <c r="S1818" s="48"/>
      <c r="T1818" s="49"/>
      <c r="U1818" s="49"/>
      <c r="V1818" s="49"/>
      <c r="W1818" s="49"/>
      <c r="X1818" s="49"/>
      <c r="Y1818" s="49"/>
      <c r="Z1818" s="50">
        <f>N1818+384</f>
        <v>384</v>
      </c>
      <c r="AA1818" s="50">
        <f>S1818+384</f>
        <v>384</v>
      </c>
      <c r="AB1818" s="50">
        <f>T1818+384</f>
        <v>384</v>
      </c>
      <c r="AC1818" s="50">
        <f>U1818+384</f>
        <v>384</v>
      </c>
    </row>
    <row r="1819" spans="1:29">
      <c r="A1819" s="48"/>
      <c r="B1819" s="48"/>
      <c r="C1819" s="49"/>
      <c r="D1819" s="49">
        <f>F1819*2+4</f>
        <v>20</v>
      </c>
      <c r="E1819" s="49" t="s">
        <v>1</v>
      </c>
      <c r="F1819" s="50">
        <v>8</v>
      </c>
      <c r="G1819" s="50">
        <f>G1817</f>
        <v>192</v>
      </c>
      <c r="H1819" s="50">
        <f>C1825-256</f>
        <v>3328</v>
      </c>
      <c r="I1819" s="50">
        <f>I1817</f>
        <v>2048</v>
      </c>
      <c r="J1819" s="50">
        <f>C1838-256</f>
        <v>3328</v>
      </c>
      <c r="K1819" s="50">
        <f>K1817</f>
        <v>3648</v>
      </c>
      <c r="L1819" s="50">
        <f>C1853</f>
        <v>2048</v>
      </c>
      <c r="M1819" s="50">
        <f>M1817</f>
        <v>5248</v>
      </c>
      <c r="N1819" s="50">
        <f>C1869</f>
        <v>2048</v>
      </c>
      <c r="O1819" s="50">
        <f>O1817</f>
        <v>6848</v>
      </c>
      <c r="P1819" s="49">
        <f>C1884</f>
        <v>1280</v>
      </c>
      <c r="Q1819" s="49">
        <f>Q1817</f>
        <v>8448</v>
      </c>
      <c r="R1819" s="49">
        <f>C1967</f>
        <v>3584</v>
      </c>
      <c r="S1819" s="49">
        <f>S1817</f>
        <v>10048</v>
      </c>
      <c r="T1819" s="49">
        <f>C1967</f>
        <v>3584</v>
      </c>
      <c r="U1819" s="49">
        <f>U1817</f>
        <v>11392</v>
      </c>
      <c r="V1819" s="49">
        <f>C1984-128</f>
        <v>4992</v>
      </c>
      <c r="W1819" s="49"/>
      <c r="X1819" s="49"/>
      <c r="Y1819" s="49"/>
      <c r="Z1819" s="49"/>
      <c r="AA1819" s="49"/>
      <c r="AB1819" s="49"/>
      <c r="AC1819" s="49"/>
    </row>
    <row r="1820" spans="1:29">
      <c r="A1820" s="49"/>
      <c r="B1820" s="49"/>
      <c r="C1820" s="49"/>
      <c r="D1820" s="48">
        <v>4</v>
      </c>
      <c r="E1820" s="48" t="s">
        <v>15</v>
      </c>
      <c r="F1820" s="6">
        <v>0</v>
      </c>
      <c r="G1820" s="50"/>
      <c r="P1820" s="48"/>
      <c r="Q1820" s="49"/>
      <c r="R1820" s="49"/>
      <c r="S1820" s="49"/>
      <c r="T1820" s="49"/>
      <c r="U1820" s="49"/>
      <c r="V1820" s="49"/>
      <c r="W1820" s="49"/>
      <c r="X1820" s="49"/>
      <c r="Y1820" s="49"/>
      <c r="Z1820" s="49"/>
      <c r="AA1820" s="49"/>
      <c r="AB1820" s="49"/>
      <c r="AC1820" s="49"/>
    </row>
    <row r="1821" spans="1:29">
      <c r="A1821" s="49"/>
      <c r="B1821" s="49"/>
      <c r="C1821" s="49"/>
      <c r="D1821" s="48">
        <v>4</v>
      </c>
      <c r="E1821" s="48" t="s">
        <v>15</v>
      </c>
      <c r="F1821" s="6">
        <v>3</v>
      </c>
      <c r="H1821" s="50"/>
      <c r="I1821" s="50"/>
      <c r="J1821" s="50"/>
      <c r="K1821" s="50"/>
      <c r="L1821" s="50"/>
      <c r="M1821" s="50"/>
      <c r="N1821" s="50"/>
      <c r="O1821" s="50"/>
      <c r="P1821" s="49"/>
      <c r="Q1821" s="49"/>
      <c r="R1821" s="49"/>
      <c r="S1821" s="49"/>
      <c r="T1821" s="49"/>
      <c r="U1821" s="49"/>
      <c r="V1821" s="49"/>
      <c r="W1821" s="49"/>
      <c r="X1821" s="49"/>
      <c r="Y1821" s="49"/>
      <c r="Z1821" s="49"/>
      <c r="AA1821" s="49"/>
      <c r="AB1821" s="49"/>
      <c r="AC1821" s="49"/>
    </row>
    <row r="1822" spans="1:29">
      <c r="A1822" s="49"/>
      <c r="B1822" s="49"/>
      <c r="C1822" s="49"/>
      <c r="D1822" s="48">
        <v>4</v>
      </c>
      <c r="E1822" s="48" t="s">
        <v>15</v>
      </c>
      <c r="F1822" s="6">
        <v>9</v>
      </c>
      <c r="G1822" s="50"/>
      <c r="H1822" s="50"/>
      <c r="I1822" s="50"/>
      <c r="J1822" s="50"/>
      <c r="K1822" s="50"/>
      <c r="L1822" s="50"/>
      <c r="M1822" s="50"/>
      <c r="N1822" s="50"/>
      <c r="O1822" s="50"/>
      <c r="P1822" s="49"/>
      <c r="Q1822" s="49"/>
      <c r="R1822" s="49"/>
      <c r="S1822" s="49"/>
      <c r="T1822" s="49"/>
      <c r="U1822" s="49"/>
      <c r="V1822" s="49"/>
      <c r="W1822" s="49"/>
      <c r="X1822" s="49"/>
      <c r="Y1822" s="49"/>
      <c r="Z1822" s="49"/>
      <c r="AA1822" s="49"/>
      <c r="AB1822" s="49"/>
      <c r="AC1822" s="49"/>
    </row>
    <row r="1823" spans="1:29">
      <c r="A1823" s="49"/>
      <c r="B1823" s="49"/>
      <c r="C1823" s="49"/>
      <c r="D1823" s="48">
        <v>5</v>
      </c>
      <c r="E1823" s="48" t="s">
        <v>59</v>
      </c>
      <c r="F1823" s="6">
        <v>1</v>
      </c>
      <c r="G1823" s="6">
        <v>0</v>
      </c>
      <c r="H1823" s="50"/>
      <c r="I1823" s="50"/>
      <c r="J1823" s="50"/>
      <c r="K1823" s="50"/>
      <c r="L1823" s="50"/>
      <c r="M1823" s="50"/>
      <c r="N1823" s="50"/>
      <c r="O1823" s="50"/>
      <c r="P1823" s="49"/>
      <c r="Q1823" s="49"/>
      <c r="R1823" s="49"/>
      <c r="S1823" s="49"/>
      <c r="T1823" s="49"/>
      <c r="U1823" s="49"/>
      <c r="V1823" s="49"/>
      <c r="W1823" s="49"/>
      <c r="X1823" s="49"/>
      <c r="Y1823" s="49"/>
      <c r="Z1823" s="49"/>
      <c r="AA1823" s="49"/>
      <c r="AB1823" s="49"/>
      <c r="AC1823" s="49"/>
    </row>
    <row r="1824" spans="1:29">
      <c r="A1824" s="17" t="s">
        <v>42</v>
      </c>
      <c r="B1824" s="17" t="s">
        <v>8</v>
      </c>
      <c r="C1824" s="49" t="s">
        <v>7</v>
      </c>
      <c r="D1824" s="49">
        <v>7</v>
      </c>
      <c r="E1824" s="49" t="s">
        <v>5</v>
      </c>
      <c r="F1824" s="50">
        <f>C1825+A1825*192</f>
        <v>4352</v>
      </c>
      <c r="G1824" s="50">
        <f>B1825</f>
        <v>64</v>
      </c>
      <c r="H1824" s="50">
        <f>C1825-192*A1825</f>
        <v>2816</v>
      </c>
      <c r="I1824" s="50">
        <f>G1824+384*A1827</f>
        <v>832</v>
      </c>
      <c r="J1824" s="50"/>
      <c r="K1824" s="50"/>
      <c r="L1824" s="50"/>
      <c r="M1824" s="50"/>
      <c r="N1824" s="50"/>
      <c r="O1824" s="50"/>
      <c r="P1824" s="49"/>
      <c r="Q1824" s="49"/>
      <c r="R1824" s="49"/>
      <c r="S1824" s="49"/>
      <c r="T1824" s="49"/>
      <c r="U1824" s="49"/>
      <c r="V1824" s="49"/>
      <c r="W1824" s="49"/>
      <c r="X1824" s="49"/>
      <c r="Y1824" s="49"/>
      <c r="Z1824" s="49"/>
      <c r="AA1824" s="49"/>
      <c r="AB1824" s="49"/>
      <c r="AC1824" s="49"/>
    </row>
    <row r="1825" spans="1:29">
      <c r="A1825" s="17">
        <v>4</v>
      </c>
      <c r="B1825" s="20">
        <v>64</v>
      </c>
      <c r="C1825" s="7">
        <f>1536+2048</f>
        <v>3584</v>
      </c>
      <c r="D1825" s="49">
        <f>ROUNDUP(6+F1825/2,0)</f>
        <v>8</v>
      </c>
      <c r="E1825" s="49" t="s">
        <v>6</v>
      </c>
      <c r="F1825" s="50">
        <f>LEN(G1825)</f>
        <v>3</v>
      </c>
      <c r="G1825" s="50" t="str">
        <f>"N="&amp;A1825</f>
        <v>N=4</v>
      </c>
      <c r="H1825" s="50">
        <f>C1825+192*A1825</f>
        <v>4352</v>
      </c>
      <c r="I1825" s="50">
        <f>B1825</f>
        <v>64</v>
      </c>
      <c r="J1825" s="50"/>
      <c r="K1825" s="50"/>
      <c r="L1825" s="50"/>
      <c r="M1825" s="50"/>
      <c r="N1825" s="50"/>
      <c r="O1825" s="50"/>
      <c r="P1825" s="49"/>
      <c r="Q1825" s="49"/>
      <c r="R1825" s="49"/>
      <c r="S1825" s="49"/>
      <c r="T1825" s="49"/>
      <c r="U1825" s="49"/>
      <c r="V1825" s="49"/>
      <c r="W1825" s="49"/>
      <c r="X1825" s="49"/>
      <c r="Y1825" s="49"/>
      <c r="Z1825" s="49"/>
      <c r="AA1825" s="49"/>
      <c r="AB1825" s="49"/>
      <c r="AC1825" s="49"/>
    </row>
    <row r="1826" spans="1:29">
      <c r="A1826" s="17" t="s">
        <v>219</v>
      </c>
      <c r="B1826" s="17" t="s">
        <v>111</v>
      </c>
      <c r="C1826" s="49"/>
      <c r="D1826" s="49">
        <f>ROUNDUP(6+F1826/2,0)</f>
        <v>8</v>
      </c>
      <c r="E1826" s="49" t="s">
        <v>6</v>
      </c>
      <c r="F1826" s="50">
        <f>LEN(G1826)</f>
        <v>4</v>
      </c>
      <c r="G1826" s="50" t="s">
        <v>229</v>
      </c>
      <c r="H1826" s="50">
        <f>C1825-192*A1825-320</f>
        <v>2496</v>
      </c>
      <c r="I1826" s="50">
        <f>B1825</f>
        <v>64</v>
      </c>
      <c r="J1826" s="50"/>
      <c r="K1826" s="50"/>
      <c r="L1826" s="50"/>
      <c r="M1826" s="50"/>
      <c r="N1826" s="50"/>
      <c r="O1826" s="50"/>
      <c r="P1826" s="49"/>
      <c r="Q1826" s="49"/>
      <c r="R1826" s="49"/>
      <c r="S1826" s="49"/>
      <c r="T1826" s="49"/>
      <c r="U1826" s="49"/>
      <c r="V1826" s="49"/>
      <c r="W1826" s="49"/>
      <c r="X1826" s="49"/>
      <c r="Y1826" s="49"/>
      <c r="Z1826" s="49"/>
      <c r="AA1826" s="49"/>
      <c r="AB1826" s="49"/>
      <c r="AC1826" s="49"/>
    </row>
    <row r="1827" spans="1:29">
      <c r="A1827" s="17">
        <v>2</v>
      </c>
      <c r="B1827" s="17">
        <v>0</v>
      </c>
      <c r="C1827" s="49"/>
      <c r="D1827" s="48">
        <v>4</v>
      </c>
      <c r="E1827" s="48" t="s">
        <v>15</v>
      </c>
      <c r="F1827" s="6">
        <v>2</v>
      </c>
      <c r="G1827" s="50"/>
      <c r="H1827" s="50"/>
      <c r="I1827" s="50"/>
      <c r="J1827" s="50"/>
      <c r="K1827" s="50"/>
      <c r="L1827" s="50"/>
      <c r="M1827" s="50"/>
      <c r="N1827" s="50"/>
      <c r="O1827" s="50"/>
      <c r="P1827" s="49"/>
      <c r="Q1827" s="49"/>
      <c r="R1827" s="49"/>
      <c r="S1827" s="49"/>
      <c r="T1827" s="49"/>
      <c r="U1827" s="49"/>
      <c r="V1827" s="49"/>
      <c r="W1827" s="49"/>
      <c r="X1827" s="49"/>
      <c r="Y1827" s="49"/>
      <c r="Z1827" s="49"/>
      <c r="AA1827" s="49"/>
      <c r="AB1827" s="49"/>
      <c r="AC1827" s="49"/>
    </row>
    <row r="1828" spans="1:29">
      <c r="A1828" s="49"/>
      <c r="B1828" s="49"/>
      <c r="C1828" s="49"/>
      <c r="D1828" s="48">
        <f>ROUNDUP(6+F1828/2,0)</f>
        <v>7</v>
      </c>
      <c r="E1828" s="48" t="s">
        <v>6</v>
      </c>
      <c r="F1828" s="6">
        <f>LEN(G1828)</f>
        <v>2</v>
      </c>
      <c r="G1828" s="41" t="s">
        <v>201</v>
      </c>
      <c r="H1828" s="6">
        <f>C1825-A1825*192-192</f>
        <v>2624</v>
      </c>
      <c r="I1828" s="6">
        <f>B1825</f>
        <v>64</v>
      </c>
      <c r="J1828" s="50"/>
      <c r="K1828" s="50"/>
      <c r="L1828" s="50"/>
      <c r="M1828" s="50"/>
      <c r="N1828" s="50"/>
      <c r="O1828" s="50"/>
      <c r="P1828" s="49"/>
      <c r="Q1828" s="49"/>
      <c r="R1828" s="49"/>
      <c r="S1828" s="49"/>
      <c r="T1828" s="49"/>
      <c r="U1828" s="49"/>
      <c r="V1828" s="49"/>
      <c r="W1828" s="49"/>
      <c r="X1828" s="49"/>
      <c r="Y1828" s="49"/>
      <c r="Z1828" s="49"/>
      <c r="AA1828" s="49"/>
      <c r="AB1828" s="49"/>
      <c r="AC1828" s="49"/>
    </row>
    <row r="1829" spans="1:29">
      <c r="A1829" s="49"/>
      <c r="B1829" s="49"/>
      <c r="C1829" s="49"/>
      <c r="D1829" s="48">
        <f>ROUNDUP(6+F1829/2,0)</f>
        <v>7</v>
      </c>
      <c r="E1829" s="48" t="s">
        <v>6</v>
      </c>
      <c r="F1829" s="6">
        <f>LEN(G1829)</f>
        <v>2</v>
      </c>
      <c r="G1829" s="41" t="s">
        <v>201</v>
      </c>
      <c r="H1829" s="6">
        <f>H1828+384</f>
        <v>3008</v>
      </c>
      <c r="I1829" s="6">
        <f>I1828</f>
        <v>64</v>
      </c>
      <c r="J1829" s="50"/>
      <c r="K1829" s="50"/>
      <c r="L1829" s="50"/>
      <c r="M1829" s="50"/>
      <c r="N1829" s="50"/>
      <c r="O1829" s="50"/>
      <c r="P1829" s="49"/>
      <c r="Q1829" s="49"/>
      <c r="R1829" s="49"/>
      <c r="S1829" s="49"/>
      <c r="T1829" s="49"/>
      <c r="U1829" s="49"/>
      <c r="V1829" s="49"/>
      <c r="W1829" s="49"/>
      <c r="X1829" s="49"/>
      <c r="Y1829" s="49"/>
      <c r="Z1829" s="49"/>
      <c r="AA1829" s="49"/>
      <c r="AB1829" s="49"/>
      <c r="AC1829" s="49"/>
    </row>
    <row r="1830" spans="1:29">
      <c r="A1830" s="49"/>
      <c r="B1830" s="49"/>
      <c r="C1830" s="49"/>
      <c r="D1830" s="48">
        <f>ROUNDUP(6+F1830/2,0)</f>
        <v>7</v>
      </c>
      <c r="E1830" s="48" t="s">
        <v>6</v>
      </c>
      <c r="F1830" s="6">
        <f>LEN(G1830)</f>
        <v>2</v>
      </c>
      <c r="G1830" s="41" t="s">
        <v>201</v>
      </c>
      <c r="H1830" s="6">
        <f>H1829+384</f>
        <v>3392</v>
      </c>
      <c r="I1830" s="6">
        <f>I1829</f>
        <v>64</v>
      </c>
      <c r="J1830" s="50"/>
      <c r="K1830" s="50"/>
      <c r="L1830" s="50"/>
      <c r="M1830" s="50"/>
      <c r="N1830" s="50"/>
      <c r="O1830" s="50"/>
      <c r="P1830" s="49"/>
      <c r="Q1830" s="49"/>
      <c r="R1830" s="49"/>
      <c r="S1830" s="49"/>
      <c r="T1830" s="49"/>
      <c r="U1830" s="49"/>
      <c r="V1830" s="49"/>
      <c r="W1830" s="49"/>
      <c r="X1830" s="49"/>
      <c r="Y1830" s="49"/>
      <c r="Z1830" s="49"/>
      <c r="AA1830" s="49"/>
      <c r="AB1830" s="49"/>
      <c r="AC1830" s="49"/>
    </row>
    <row r="1831" spans="1:29">
      <c r="A1831" s="49"/>
      <c r="B1831" s="49"/>
      <c r="C1831" s="49"/>
      <c r="D1831" s="48">
        <f>ROUNDUP(6+F1831/2,0)</f>
        <v>7</v>
      </c>
      <c r="E1831" s="48" t="s">
        <v>6</v>
      </c>
      <c r="F1831" s="6">
        <f>LEN(G1831)</f>
        <v>2</v>
      </c>
      <c r="G1831" s="41" t="s">
        <v>201</v>
      </c>
      <c r="H1831" s="6">
        <f>H1830+384</f>
        <v>3776</v>
      </c>
      <c r="I1831" s="6">
        <f>I1830</f>
        <v>64</v>
      </c>
      <c r="J1831" s="50"/>
      <c r="K1831" s="50"/>
      <c r="L1831" s="50"/>
      <c r="M1831" s="50"/>
      <c r="N1831" s="50"/>
      <c r="O1831" s="50"/>
      <c r="P1831" s="49"/>
      <c r="Q1831" s="49"/>
      <c r="R1831" s="49"/>
      <c r="S1831" s="49"/>
      <c r="T1831" s="49"/>
      <c r="U1831" s="49"/>
      <c r="V1831" s="49"/>
      <c r="W1831" s="49"/>
      <c r="X1831" s="49"/>
      <c r="Y1831" s="49"/>
      <c r="Z1831" s="49"/>
      <c r="AA1831" s="49"/>
      <c r="AB1831" s="49"/>
      <c r="AC1831" s="49"/>
    </row>
    <row r="1832" spans="1:29">
      <c r="A1832" s="49" t="s">
        <v>223</v>
      </c>
      <c r="B1832" s="49">
        <v>0</v>
      </c>
      <c r="C1832" s="49"/>
      <c r="D1832" s="48">
        <v>4</v>
      </c>
      <c r="E1832" s="48" t="s">
        <v>15</v>
      </c>
      <c r="F1832" s="6">
        <v>0</v>
      </c>
      <c r="G1832" s="50"/>
      <c r="H1832" s="50"/>
      <c r="I1832" s="50"/>
      <c r="J1832" s="50"/>
      <c r="K1832" s="50"/>
      <c r="L1832" s="50"/>
      <c r="M1832" s="50"/>
      <c r="N1832" s="50"/>
      <c r="O1832" s="50"/>
      <c r="P1832" s="49"/>
      <c r="Q1832" s="49"/>
      <c r="R1832" s="49"/>
      <c r="S1832" s="49"/>
      <c r="T1832" s="49"/>
      <c r="U1832" s="49"/>
      <c r="V1832" s="49"/>
      <c r="W1832" s="49"/>
      <c r="X1832" s="49"/>
      <c r="Y1832" s="49"/>
      <c r="Z1832" s="49"/>
      <c r="AA1832" s="49"/>
      <c r="AB1832" s="49"/>
      <c r="AC1832" s="49"/>
    </row>
    <row r="1833" spans="1:29">
      <c r="A1833" s="49">
        <f>B1825+784-384*B1827</f>
        <v>848</v>
      </c>
      <c r="B1833" s="49">
        <f>C1825+256*B1832</f>
        <v>3584</v>
      </c>
      <c r="C1833" s="49">
        <f>B1833+1024*B1832</f>
        <v>3584</v>
      </c>
      <c r="D1833" s="49">
        <v>18</v>
      </c>
      <c r="E1833" s="49" t="s">
        <v>111</v>
      </c>
      <c r="F1833" s="50">
        <v>100</v>
      </c>
      <c r="G1833" s="50">
        <f>A1833+128</f>
        <v>976</v>
      </c>
      <c r="H1833" s="50">
        <f>B1833</f>
        <v>3584</v>
      </c>
      <c r="I1833" s="50">
        <f>G1833+512+B1827*384</f>
        <v>1488</v>
      </c>
      <c r="J1833" s="50">
        <f>C1833</f>
        <v>3584</v>
      </c>
      <c r="K1833" s="50"/>
      <c r="L1833" s="50"/>
      <c r="M1833" s="50"/>
      <c r="N1833" s="50"/>
      <c r="O1833" s="50"/>
      <c r="P1833" s="49"/>
      <c r="Q1833" s="49"/>
      <c r="R1833" s="49"/>
      <c r="S1833" s="49"/>
      <c r="T1833" s="49"/>
      <c r="U1833" s="49"/>
      <c r="V1833" s="49"/>
      <c r="W1833" s="49"/>
      <c r="X1833" s="49"/>
      <c r="Y1833" s="49"/>
      <c r="Z1833" s="49"/>
      <c r="AA1833" s="49"/>
      <c r="AB1833" s="49"/>
      <c r="AC1833" s="49"/>
    </row>
    <row r="1834" spans="1:29">
      <c r="A1834" s="49"/>
      <c r="B1834" s="49"/>
      <c r="C1834" s="49"/>
      <c r="D1834" s="49">
        <v>7</v>
      </c>
      <c r="E1834" s="49" t="s">
        <v>5</v>
      </c>
      <c r="F1834" s="50">
        <f>F1824-384</f>
        <v>3968</v>
      </c>
      <c r="G1834" s="50">
        <f>G1824</f>
        <v>64</v>
      </c>
      <c r="H1834" s="50">
        <f>H1824+384</f>
        <v>3200</v>
      </c>
      <c r="I1834" s="50">
        <f>I1824</f>
        <v>832</v>
      </c>
      <c r="J1834" s="50"/>
      <c r="K1834" s="50"/>
      <c r="L1834" s="50"/>
      <c r="M1834" s="50"/>
      <c r="N1834" s="50"/>
      <c r="O1834" s="50"/>
      <c r="P1834" s="49"/>
      <c r="Q1834" s="49"/>
      <c r="R1834" s="49"/>
      <c r="S1834" s="49"/>
      <c r="T1834" s="49"/>
      <c r="U1834" s="49"/>
      <c r="V1834" s="49"/>
      <c r="W1834" s="49"/>
      <c r="X1834" s="49"/>
      <c r="Y1834" s="49"/>
      <c r="Z1834" s="49"/>
      <c r="AA1834" s="49"/>
      <c r="AB1834" s="49"/>
      <c r="AC1834" s="49"/>
    </row>
    <row r="1835" spans="1:29">
      <c r="A1835" s="49"/>
      <c r="B1835" s="49"/>
      <c r="C1835" s="49"/>
      <c r="D1835" s="49">
        <f>F1835*2+4</f>
        <v>8</v>
      </c>
      <c r="E1835" s="49" t="s">
        <v>1</v>
      </c>
      <c r="F1835" s="50">
        <v>2</v>
      </c>
      <c r="G1835" s="50">
        <f>G1824+384</f>
        <v>448</v>
      </c>
      <c r="H1835" s="50">
        <f>H1824</f>
        <v>2816</v>
      </c>
      <c r="I1835" s="50">
        <f>G1835</f>
        <v>448</v>
      </c>
      <c r="J1835" s="50">
        <f>F1824</f>
        <v>4352</v>
      </c>
      <c r="K1835" s="50"/>
      <c r="L1835" s="50"/>
      <c r="M1835" s="50"/>
      <c r="N1835" s="50"/>
      <c r="O1835" s="50"/>
      <c r="P1835" s="49"/>
      <c r="Q1835" s="49"/>
      <c r="R1835" s="49"/>
      <c r="S1835" s="49"/>
      <c r="T1835" s="49"/>
      <c r="U1835" s="49"/>
      <c r="V1835" s="49"/>
      <c r="W1835" s="49"/>
      <c r="X1835" s="49"/>
      <c r="Y1835" s="49"/>
      <c r="Z1835" s="49"/>
      <c r="AA1835" s="49"/>
      <c r="AB1835" s="49"/>
      <c r="AC1835" s="49"/>
    </row>
    <row r="1836" spans="1:29">
      <c r="A1836" s="49"/>
      <c r="B1836" s="49"/>
      <c r="C1836" s="49"/>
      <c r="D1836" s="49">
        <f>F1836*2+4</f>
        <v>8</v>
      </c>
      <c r="E1836" s="49" t="s">
        <v>1</v>
      </c>
      <c r="F1836" s="50">
        <v>2</v>
      </c>
      <c r="G1836" s="50">
        <f>B1825</f>
        <v>64</v>
      </c>
      <c r="H1836" s="50">
        <f>C1825</f>
        <v>3584</v>
      </c>
      <c r="I1836" s="50">
        <f>B1825+768</f>
        <v>832</v>
      </c>
      <c r="J1836" s="50">
        <f>H1836</f>
        <v>3584</v>
      </c>
      <c r="K1836" s="50"/>
      <c r="L1836" s="50"/>
      <c r="M1836" s="50"/>
      <c r="N1836" s="50"/>
      <c r="O1836" s="50"/>
      <c r="P1836" s="49"/>
      <c r="Q1836" s="49"/>
      <c r="R1836" s="49"/>
      <c r="S1836" s="49"/>
      <c r="T1836" s="49"/>
      <c r="U1836" s="49"/>
      <c r="V1836" s="49"/>
      <c r="W1836" s="49"/>
      <c r="X1836" s="49"/>
      <c r="Y1836" s="49"/>
      <c r="Z1836" s="49"/>
      <c r="AA1836" s="49"/>
      <c r="AB1836" s="49"/>
      <c r="AC1836" s="49"/>
    </row>
    <row r="1837" spans="1:29">
      <c r="A1837" s="17" t="s">
        <v>42</v>
      </c>
      <c r="B1837" s="18" t="s">
        <v>8</v>
      </c>
      <c r="C1837" s="49" t="s">
        <v>7</v>
      </c>
      <c r="D1837" s="49">
        <v>7</v>
      </c>
      <c r="E1837" s="49" t="s">
        <v>5</v>
      </c>
      <c r="F1837" s="50">
        <f>C1838+A1838*192</f>
        <v>4352</v>
      </c>
      <c r="G1837" s="50">
        <f>B1838</f>
        <v>1664</v>
      </c>
      <c r="H1837" s="50">
        <f>C1838-192*A1838</f>
        <v>2816</v>
      </c>
      <c r="I1837" s="50">
        <f>G1837+384*A1840</f>
        <v>2048</v>
      </c>
      <c r="J1837" s="50"/>
      <c r="K1837" s="50"/>
      <c r="L1837" s="50"/>
      <c r="M1837" s="50"/>
      <c r="N1837" s="50"/>
      <c r="O1837" s="50"/>
      <c r="P1837" s="49"/>
      <c r="Q1837" s="49"/>
      <c r="R1837" s="49"/>
      <c r="S1837" s="49"/>
      <c r="T1837" s="49"/>
      <c r="U1837" s="49"/>
      <c r="V1837" s="49"/>
      <c r="W1837" s="49"/>
      <c r="X1837" s="49"/>
      <c r="Y1837" s="49"/>
      <c r="Z1837" s="49"/>
      <c r="AA1837" s="49"/>
      <c r="AB1837" s="49"/>
      <c r="AC1837" s="49"/>
    </row>
    <row r="1838" spans="1:29">
      <c r="A1838" s="17">
        <v>4</v>
      </c>
      <c r="B1838" s="20">
        <f>B1825+6.25*256</f>
        <v>1664</v>
      </c>
      <c r="C1838" s="7">
        <f>C1825</f>
        <v>3584</v>
      </c>
      <c r="D1838" s="49">
        <f>ROUNDUP(6+F1838/2,0)</f>
        <v>8</v>
      </c>
      <c r="E1838" s="49" t="s">
        <v>6</v>
      </c>
      <c r="F1838" s="50">
        <f>LEN(G1838)</f>
        <v>3</v>
      </c>
      <c r="G1838" s="50" t="str">
        <f>"N="&amp;A1838</f>
        <v>N=4</v>
      </c>
      <c r="H1838" s="50">
        <f>C1838+192*A1838</f>
        <v>4352</v>
      </c>
      <c r="I1838" s="50">
        <f>B1838</f>
        <v>1664</v>
      </c>
      <c r="J1838" s="50"/>
      <c r="K1838" s="50"/>
      <c r="L1838" s="50"/>
      <c r="M1838" s="50"/>
      <c r="N1838" s="50"/>
      <c r="O1838" s="50"/>
      <c r="P1838" s="49"/>
      <c r="Q1838" s="49"/>
      <c r="R1838" s="49"/>
      <c r="S1838" s="49"/>
      <c r="T1838" s="49"/>
      <c r="U1838" s="49"/>
      <c r="V1838" s="49"/>
      <c r="W1838" s="49"/>
      <c r="X1838" s="49"/>
      <c r="Y1838" s="49"/>
      <c r="Z1838" s="49"/>
      <c r="AA1838" s="49"/>
      <c r="AB1838" s="49"/>
      <c r="AC1838" s="49"/>
    </row>
    <row r="1839" spans="1:29">
      <c r="A1839" s="17" t="s">
        <v>219</v>
      </c>
      <c r="B1839" s="17" t="s">
        <v>111</v>
      </c>
      <c r="C1839" s="49"/>
      <c r="D1839" s="49">
        <f>ROUNDUP(6+F1839/2,0)</f>
        <v>8</v>
      </c>
      <c r="E1839" s="49" t="s">
        <v>6</v>
      </c>
      <c r="F1839" s="50">
        <f>LEN(G1839)</f>
        <v>4</v>
      </c>
      <c r="G1839" s="50" t="s">
        <v>232</v>
      </c>
      <c r="H1839" s="50">
        <f>C1838-192*A1838-320</f>
        <v>2496</v>
      </c>
      <c r="I1839" s="50">
        <f>B1838</f>
        <v>1664</v>
      </c>
      <c r="J1839" s="50"/>
      <c r="K1839" s="50"/>
      <c r="L1839" s="50"/>
      <c r="M1839" s="50"/>
      <c r="N1839" s="50"/>
      <c r="O1839" s="50"/>
      <c r="P1839" s="49"/>
      <c r="Q1839" s="49"/>
      <c r="R1839" s="49"/>
      <c r="S1839" s="49"/>
      <c r="T1839" s="49"/>
      <c r="U1839" s="49"/>
      <c r="V1839" s="49"/>
      <c r="W1839" s="49"/>
      <c r="X1839" s="49"/>
      <c r="Y1839" s="49"/>
      <c r="Z1839" s="49"/>
      <c r="AA1839" s="49"/>
      <c r="AB1839" s="49"/>
      <c r="AC1839" s="49"/>
    </row>
    <row r="1840" spans="1:29">
      <c r="A1840" s="17">
        <v>1</v>
      </c>
      <c r="B1840" s="17">
        <v>0</v>
      </c>
      <c r="C1840" s="49"/>
      <c r="D1840" s="48">
        <v>4</v>
      </c>
      <c r="E1840" s="48" t="s">
        <v>15</v>
      </c>
      <c r="F1840" s="6">
        <v>2</v>
      </c>
      <c r="G1840" s="50"/>
      <c r="H1840" s="50"/>
      <c r="I1840" s="50"/>
      <c r="J1840" s="50"/>
      <c r="K1840" s="50"/>
      <c r="L1840" s="50"/>
      <c r="M1840" s="50"/>
      <c r="N1840" s="50"/>
      <c r="O1840" s="50"/>
      <c r="P1840" s="49"/>
      <c r="Q1840" s="49"/>
      <c r="R1840" s="49"/>
      <c r="S1840" s="49"/>
      <c r="T1840" s="49"/>
      <c r="U1840" s="49"/>
      <c r="V1840" s="49"/>
      <c r="W1840" s="49"/>
      <c r="X1840" s="49"/>
      <c r="Y1840" s="49"/>
      <c r="Z1840" s="49"/>
      <c r="AA1840" s="49"/>
      <c r="AB1840" s="49"/>
      <c r="AC1840" s="49"/>
    </row>
    <row r="1841" spans="1:29">
      <c r="A1841" s="49"/>
      <c r="B1841" s="49"/>
      <c r="C1841" s="49"/>
      <c r="D1841" s="48">
        <f>ROUNDUP(6+F1841/2,0)</f>
        <v>7</v>
      </c>
      <c r="E1841" s="48" t="s">
        <v>6</v>
      </c>
      <c r="F1841" s="6">
        <f>LEN(G1841)</f>
        <v>1</v>
      </c>
      <c r="G1841" s="41" t="s">
        <v>202</v>
      </c>
      <c r="H1841" s="6">
        <f>C1838-A1838*192-192</f>
        <v>2624</v>
      </c>
      <c r="I1841" s="6">
        <f>B1838</f>
        <v>1664</v>
      </c>
      <c r="J1841" s="50"/>
      <c r="K1841" s="50"/>
      <c r="L1841" s="50"/>
      <c r="M1841" s="50"/>
      <c r="N1841" s="50"/>
      <c r="O1841" s="50"/>
      <c r="P1841" s="49"/>
      <c r="Q1841" s="49"/>
      <c r="R1841" s="49"/>
      <c r="S1841" s="49"/>
      <c r="T1841" s="49"/>
      <c r="U1841" s="49"/>
      <c r="V1841" s="49"/>
      <c r="W1841" s="49"/>
      <c r="X1841" s="49"/>
      <c r="Y1841" s="49"/>
      <c r="Z1841" s="49"/>
      <c r="AA1841" s="49"/>
      <c r="AB1841" s="49"/>
      <c r="AC1841" s="49"/>
    </row>
    <row r="1842" spans="1:29">
      <c r="A1842" s="49"/>
      <c r="B1842" s="49"/>
      <c r="C1842" s="49"/>
      <c r="D1842" s="48">
        <f>ROUNDUP(6+F1842/2,0)</f>
        <v>7</v>
      </c>
      <c r="E1842" s="48" t="s">
        <v>6</v>
      </c>
      <c r="F1842" s="6">
        <f>LEN(G1842)</f>
        <v>2</v>
      </c>
      <c r="G1842" s="41" t="s">
        <v>201</v>
      </c>
      <c r="H1842" s="6">
        <f>H1841+384</f>
        <v>3008</v>
      </c>
      <c r="I1842" s="6">
        <f>I1841</f>
        <v>1664</v>
      </c>
      <c r="J1842" s="50"/>
      <c r="K1842" s="50"/>
      <c r="L1842" s="50"/>
      <c r="M1842" s="50"/>
      <c r="N1842" s="50"/>
      <c r="O1842" s="50"/>
      <c r="P1842" s="49"/>
      <c r="Q1842" s="49"/>
      <c r="R1842" s="49"/>
      <c r="S1842" s="49"/>
      <c r="T1842" s="49"/>
      <c r="U1842" s="49"/>
      <c r="V1842" s="49"/>
      <c r="W1842" s="49"/>
      <c r="X1842" s="49"/>
      <c r="Y1842" s="49"/>
      <c r="Z1842" s="49"/>
      <c r="AA1842" s="49"/>
      <c r="AB1842" s="49"/>
      <c r="AC1842" s="49"/>
    </row>
    <row r="1843" spans="1:29">
      <c r="A1843" s="49"/>
      <c r="B1843" s="49"/>
      <c r="C1843" s="49"/>
      <c r="D1843" s="48">
        <f>ROUNDUP(6+F1843/2,0)</f>
        <v>7</v>
      </c>
      <c r="E1843" s="48" t="s">
        <v>6</v>
      </c>
      <c r="F1843" s="6">
        <f>LEN(G1843)</f>
        <v>2</v>
      </c>
      <c r="G1843" s="41" t="s">
        <v>201</v>
      </c>
      <c r="H1843" s="6">
        <f>H1842+384</f>
        <v>3392</v>
      </c>
      <c r="I1843" s="6">
        <f>I1842</f>
        <v>1664</v>
      </c>
      <c r="J1843" s="50"/>
      <c r="K1843" s="50"/>
      <c r="L1843" s="50"/>
      <c r="M1843" s="50"/>
      <c r="N1843" s="50"/>
      <c r="O1843" s="50"/>
      <c r="P1843" s="49"/>
      <c r="Q1843" s="49"/>
      <c r="R1843" s="49"/>
      <c r="S1843" s="49"/>
      <c r="T1843" s="49"/>
      <c r="U1843" s="49"/>
      <c r="V1843" s="49"/>
      <c r="W1843" s="49"/>
      <c r="X1843" s="49"/>
      <c r="Y1843" s="49"/>
      <c r="Z1843" s="49"/>
      <c r="AA1843" s="49"/>
      <c r="AB1843" s="49"/>
      <c r="AC1843" s="49"/>
    </row>
    <row r="1844" spans="1:29">
      <c r="A1844" s="49"/>
      <c r="B1844" s="49"/>
      <c r="C1844" s="49"/>
      <c r="D1844" s="48">
        <f>ROUNDUP(6+F1844/2,0)</f>
        <v>7</v>
      </c>
      <c r="E1844" s="48" t="s">
        <v>6</v>
      </c>
      <c r="F1844" s="6">
        <f>LEN(G1844)</f>
        <v>2</v>
      </c>
      <c r="G1844" s="41" t="s">
        <v>201</v>
      </c>
      <c r="H1844" s="6">
        <f>H1843+384</f>
        <v>3776</v>
      </c>
      <c r="I1844" s="6">
        <f>I1843</f>
        <v>1664</v>
      </c>
      <c r="J1844" s="50"/>
      <c r="K1844" s="50"/>
      <c r="L1844" s="50"/>
      <c r="M1844" s="50"/>
      <c r="N1844" s="50"/>
      <c r="O1844" s="50"/>
      <c r="P1844" s="49"/>
      <c r="Q1844" s="49"/>
      <c r="R1844" s="49"/>
      <c r="S1844" s="49"/>
      <c r="T1844" s="49"/>
      <c r="U1844" s="49"/>
      <c r="V1844" s="49"/>
      <c r="W1844" s="49"/>
      <c r="X1844" s="49"/>
      <c r="Y1844" s="49"/>
      <c r="Z1844" s="49"/>
      <c r="AA1844" s="49"/>
      <c r="AB1844" s="49"/>
      <c r="AC1844" s="49"/>
    </row>
    <row r="1845" spans="1:29">
      <c r="A1845" s="49"/>
      <c r="B1845" s="49"/>
      <c r="C1845" s="49"/>
      <c r="D1845" s="48">
        <v>4</v>
      </c>
      <c r="E1845" s="48" t="s">
        <v>15</v>
      </c>
      <c r="F1845" s="6">
        <v>0</v>
      </c>
      <c r="G1845" s="50"/>
      <c r="H1845" s="50"/>
      <c r="I1845" s="50"/>
      <c r="J1845" s="50"/>
      <c r="K1845" s="50"/>
      <c r="L1845" s="50"/>
      <c r="M1845" s="50"/>
      <c r="N1845" s="50"/>
      <c r="O1845" s="50"/>
      <c r="P1845" s="49"/>
      <c r="Q1845" s="49"/>
      <c r="R1845" s="49"/>
      <c r="S1845" s="49"/>
      <c r="T1845" s="49"/>
      <c r="U1845" s="49"/>
      <c r="V1845" s="49"/>
      <c r="W1845" s="49"/>
      <c r="X1845" s="49"/>
      <c r="Y1845" s="49"/>
      <c r="Z1845" s="49"/>
      <c r="AA1845" s="49"/>
      <c r="AB1845" s="49"/>
      <c r="AC1845" s="49"/>
    </row>
    <row r="1846" spans="1:29">
      <c r="A1846" s="49">
        <f>B1838+784-384*B1840</f>
        <v>2448</v>
      </c>
      <c r="B1846" s="49">
        <f>C1838+256*B1849</f>
        <v>3840</v>
      </c>
      <c r="C1846" s="49">
        <f>B1846+1024*B1849</f>
        <v>4864</v>
      </c>
      <c r="D1846" s="49">
        <v>18</v>
      </c>
      <c r="E1846" s="49" t="s">
        <v>111</v>
      </c>
      <c r="F1846" s="50">
        <v>100</v>
      </c>
      <c r="G1846" s="50">
        <f>A1846+128</f>
        <v>2576</v>
      </c>
      <c r="H1846" s="50">
        <f>B1846</f>
        <v>3840</v>
      </c>
      <c r="I1846" s="50">
        <f>G1846+512+B1840*384</f>
        <v>3088</v>
      </c>
      <c r="J1846" s="50">
        <f>C1846</f>
        <v>4864</v>
      </c>
      <c r="K1846" s="50"/>
      <c r="L1846" s="50"/>
      <c r="M1846" s="50"/>
      <c r="N1846" s="50"/>
      <c r="O1846" s="50"/>
      <c r="P1846" s="49"/>
      <c r="Q1846" s="49"/>
      <c r="R1846" s="49"/>
      <c r="S1846" s="49"/>
      <c r="T1846" s="49"/>
      <c r="U1846" s="49"/>
      <c r="V1846" s="49"/>
      <c r="W1846" s="49"/>
      <c r="X1846" s="49"/>
      <c r="Y1846" s="49"/>
      <c r="Z1846" s="49"/>
      <c r="AA1846" s="49"/>
      <c r="AB1846" s="49"/>
      <c r="AC1846" s="49"/>
    </row>
    <row r="1847" spans="1:29">
      <c r="A1847" s="49">
        <f>A1846</f>
        <v>2448</v>
      </c>
      <c r="B1847" s="49">
        <f>C1838+256*C1849</f>
        <v>3328</v>
      </c>
      <c r="C1847" s="49">
        <f>B1847+1024*C1849</f>
        <v>2304</v>
      </c>
      <c r="D1847" s="49">
        <v>18</v>
      </c>
      <c r="E1847" s="49" t="s">
        <v>111</v>
      </c>
      <c r="F1847" s="50">
        <v>100</v>
      </c>
      <c r="G1847" s="50">
        <f>A1847+128</f>
        <v>2576</v>
      </c>
      <c r="H1847" s="50">
        <f>B1847</f>
        <v>3328</v>
      </c>
      <c r="I1847" s="50">
        <f>G1847+512+B1840*384</f>
        <v>3088</v>
      </c>
      <c r="J1847" s="50">
        <f>C1847</f>
        <v>2304</v>
      </c>
      <c r="K1847" s="50"/>
      <c r="L1847" s="50"/>
      <c r="M1847" s="50"/>
      <c r="N1847" s="50"/>
      <c r="O1847" s="50"/>
      <c r="P1847" s="49"/>
      <c r="Q1847" s="49"/>
      <c r="R1847" s="49"/>
      <c r="S1847" s="49"/>
      <c r="T1847" s="49"/>
      <c r="U1847" s="49"/>
      <c r="V1847" s="49"/>
      <c r="W1847" s="49"/>
      <c r="X1847" s="49"/>
      <c r="Y1847" s="49"/>
      <c r="Z1847" s="49"/>
      <c r="AA1847" s="49"/>
      <c r="AB1847" s="49"/>
      <c r="AC1847" s="49"/>
    </row>
    <row r="1848" spans="1:29">
      <c r="A1848" s="49" t="s">
        <v>8</v>
      </c>
      <c r="B1848" s="49" t="s">
        <v>221</v>
      </c>
      <c r="C1848" s="49" t="s">
        <v>222</v>
      </c>
      <c r="D1848" s="49">
        <f>ROUNDUP(6+F1848/2,0)</f>
        <v>8</v>
      </c>
      <c r="E1848" s="49" t="s">
        <v>6</v>
      </c>
      <c r="F1848" s="50">
        <f>LEN(G1848)</f>
        <v>3</v>
      </c>
      <c r="G1848" s="40" t="s">
        <v>230</v>
      </c>
      <c r="H1848" s="50">
        <f>H1846/2+J1846/2-IF(B1849,128,320)</f>
        <v>4224</v>
      </c>
      <c r="I1848" s="50">
        <f>G1846+128</f>
        <v>2704</v>
      </c>
      <c r="J1848" s="50"/>
      <c r="K1848" s="50"/>
      <c r="L1848" s="50"/>
      <c r="M1848" s="50"/>
      <c r="N1848" s="50"/>
      <c r="O1848" s="50"/>
      <c r="P1848" s="49"/>
      <c r="Q1848" s="49"/>
      <c r="R1848" s="49"/>
      <c r="S1848" s="49"/>
      <c r="T1848" s="49"/>
      <c r="U1848" s="49"/>
      <c r="V1848" s="49"/>
      <c r="W1848" s="49"/>
      <c r="X1848" s="49"/>
      <c r="Y1848" s="49"/>
      <c r="Z1848" s="49"/>
      <c r="AA1848" s="49"/>
      <c r="AB1848" s="49"/>
      <c r="AC1848" s="49"/>
    </row>
    <row r="1849" spans="1:29">
      <c r="A1849" s="49" t="s">
        <v>223</v>
      </c>
      <c r="B1849" s="49">
        <v>1</v>
      </c>
      <c r="C1849" s="49">
        <v>-1</v>
      </c>
      <c r="D1849" s="49">
        <f>ROUNDUP(6+F1849/2,0)</f>
        <v>8</v>
      </c>
      <c r="E1849" s="49" t="s">
        <v>6</v>
      </c>
      <c r="F1849" s="50">
        <f>LEN(G1849)</f>
        <v>3</v>
      </c>
      <c r="G1849" s="40" t="s">
        <v>231</v>
      </c>
      <c r="H1849" s="50">
        <f>H1847/2+J1847/2-IF(C1849,128,320)</f>
        <v>2688</v>
      </c>
      <c r="I1849" s="50">
        <f>G1847+128</f>
        <v>2704</v>
      </c>
      <c r="J1849" s="50"/>
      <c r="K1849" s="50"/>
      <c r="L1849" s="50"/>
      <c r="M1849" s="50"/>
      <c r="N1849" s="50"/>
      <c r="O1849" s="50"/>
      <c r="P1849" s="49"/>
      <c r="Q1849" s="49"/>
      <c r="R1849" s="49"/>
      <c r="S1849" s="49"/>
      <c r="T1849" s="49"/>
      <c r="U1849" s="49"/>
      <c r="V1849" s="49"/>
      <c r="W1849" s="49"/>
      <c r="X1849" s="49"/>
      <c r="Y1849" s="49"/>
      <c r="Z1849" s="49"/>
      <c r="AA1849" s="49"/>
      <c r="AB1849" s="49"/>
      <c r="AC1849" s="49"/>
    </row>
    <row r="1850" spans="1:29">
      <c r="A1850" s="49"/>
      <c r="B1850" s="49"/>
      <c r="C1850" s="49"/>
      <c r="D1850" s="49">
        <v>7</v>
      </c>
      <c r="E1850" s="49" t="s">
        <v>5</v>
      </c>
      <c r="F1850" s="50">
        <f>C1838</f>
        <v>3584</v>
      </c>
      <c r="G1850" s="50">
        <f>B1838</f>
        <v>1664</v>
      </c>
      <c r="H1850" s="50">
        <f>F1850+384</f>
        <v>3968</v>
      </c>
      <c r="I1850" s="50">
        <f>G1850+768</f>
        <v>2432</v>
      </c>
      <c r="J1850" s="50"/>
      <c r="K1850" s="50"/>
      <c r="L1850" s="50"/>
      <c r="M1850" s="50"/>
      <c r="N1850" s="50"/>
      <c r="O1850" s="50"/>
      <c r="P1850" s="49"/>
      <c r="Q1850" s="49"/>
      <c r="R1850" s="49"/>
      <c r="S1850" s="49"/>
      <c r="T1850" s="49"/>
      <c r="U1850" s="49"/>
      <c r="V1850" s="49"/>
      <c r="W1850" s="49"/>
      <c r="X1850" s="49"/>
      <c r="Y1850" s="49"/>
      <c r="Z1850" s="49"/>
      <c r="AA1850" s="49"/>
      <c r="AB1850" s="49"/>
      <c r="AC1850" s="49"/>
    </row>
    <row r="1851" spans="1:29">
      <c r="A1851" s="49"/>
      <c r="B1851" s="49"/>
      <c r="C1851" s="49"/>
      <c r="D1851" s="49">
        <v>7</v>
      </c>
      <c r="E1851" s="49" t="s">
        <v>5</v>
      </c>
      <c r="F1851" s="50">
        <f>F1850-384</f>
        <v>3200</v>
      </c>
      <c r="G1851" s="50">
        <f>G1850</f>
        <v>1664</v>
      </c>
      <c r="H1851" s="50">
        <f>F1851+3*384</f>
        <v>4352</v>
      </c>
      <c r="I1851" s="50">
        <f>G1851+768</f>
        <v>2432</v>
      </c>
      <c r="J1851" s="50"/>
      <c r="K1851" s="50"/>
      <c r="L1851" s="50"/>
      <c r="M1851" s="50"/>
      <c r="N1851" s="50"/>
      <c r="O1851" s="50"/>
      <c r="P1851" s="49"/>
      <c r="Q1851" s="49"/>
      <c r="R1851" s="49"/>
      <c r="S1851" s="49"/>
      <c r="T1851" s="49"/>
      <c r="U1851" s="49"/>
      <c r="V1851" s="49"/>
      <c r="W1851" s="49"/>
      <c r="X1851" s="49"/>
      <c r="Y1851" s="49"/>
      <c r="Z1851" s="49"/>
      <c r="AA1851" s="49"/>
      <c r="AB1851" s="49"/>
      <c r="AC1851" s="49"/>
    </row>
    <row r="1852" spans="1:29">
      <c r="A1852" s="17" t="s">
        <v>42</v>
      </c>
      <c r="B1852" s="19" t="s">
        <v>8</v>
      </c>
      <c r="C1852" s="49" t="s">
        <v>7</v>
      </c>
      <c r="D1852" s="49">
        <v>7</v>
      </c>
      <c r="E1852" s="49" t="s">
        <v>5</v>
      </c>
      <c r="F1852" s="50">
        <f>C1853+A1853*192</f>
        <v>2816</v>
      </c>
      <c r="G1852" s="50">
        <f>B1853</f>
        <v>3264</v>
      </c>
      <c r="H1852" s="50">
        <f>C1853-192*A1853</f>
        <v>1280</v>
      </c>
      <c r="I1852" s="50">
        <f>G1852+384*A1855</f>
        <v>3648</v>
      </c>
      <c r="J1852" s="50"/>
      <c r="K1852" s="50"/>
      <c r="L1852" s="50"/>
      <c r="M1852" s="50"/>
      <c r="N1852" s="50"/>
      <c r="O1852" s="50"/>
      <c r="P1852" s="49"/>
      <c r="Q1852" s="49"/>
      <c r="R1852" s="49"/>
      <c r="S1852" s="49"/>
      <c r="T1852" s="49"/>
      <c r="U1852" s="49"/>
      <c r="V1852" s="49"/>
      <c r="W1852" s="49"/>
      <c r="X1852" s="49"/>
      <c r="Y1852" s="49"/>
      <c r="Z1852" s="49"/>
      <c r="AA1852" s="49"/>
      <c r="AB1852" s="49"/>
      <c r="AC1852" s="49"/>
    </row>
    <row r="1853" spans="1:29">
      <c r="A1853" s="17">
        <v>4</v>
      </c>
      <c r="B1853" s="21">
        <f>B1838+6.25*256</f>
        <v>3264</v>
      </c>
      <c r="C1853" s="7">
        <f>C1838-1536</f>
        <v>2048</v>
      </c>
      <c r="D1853" s="49">
        <f>ROUNDUP(6+F1853/2,0)</f>
        <v>8</v>
      </c>
      <c r="E1853" s="49" t="s">
        <v>6</v>
      </c>
      <c r="F1853" s="50">
        <f>LEN(G1853)</f>
        <v>3</v>
      </c>
      <c r="G1853" s="50" t="str">
        <f>"N="&amp;A1853</f>
        <v>N=4</v>
      </c>
      <c r="H1853" s="50">
        <f>C1853+192*A1853</f>
        <v>2816</v>
      </c>
      <c r="I1853" s="50">
        <f>B1853</f>
        <v>3264</v>
      </c>
      <c r="J1853" s="50"/>
      <c r="K1853" s="50"/>
      <c r="L1853" s="50"/>
      <c r="M1853" s="50"/>
      <c r="N1853" s="50"/>
      <c r="O1853" s="50"/>
      <c r="P1853" s="49"/>
      <c r="Q1853" s="49"/>
      <c r="R1853" s="49"/>
      <c r="S1853" s="49"/>
      <c r="T1853" s="49"/>
      <c r="U1853" s="49"/>
      <c r="V1853" s="49"/>
      <c r="W1853" s="49"/>
      <c r="X1853" s="49"/>
      <c r="Y1853" s="49"/>
      <c r="Z1853" s="49"/>
      <c r="AA1853" s="49"/>
      <c r="AB1853" s="49"/>
      <c r="AC1853" s="49"/>
    </row>
    <row r="1854" spans="1:29">
      <c r="A1854" s="17" t="s">
        <v>219</v>
      </c>
      <c r="B1854" s="17" t="s">
        <v>111</v>
      </c>
      <c r="C1854" s="49"/>
      <c r="D1854" s="49">
        <f>ROUNDUP(6+F1854/2,0)</f>
        <v>9</v>
      </c>
      <c r="E1854" s="49" t="s">
        <v>6</v>
      </c>
      <c r="F1854" s="50">
        <f>LEN(G1854)</f>
        <v>6</v>
      </c>
      <c r="G1854" s="36" t="s">
        <v>233</v>
      </c>
      <c r="H1854" s="50">
        <f>C1853-192*A1853-320</f>
        <v>960</v>
      </c>
      <c r="I1854" s="50">
        <f>B1853</f>
        <v>3264</v>
      </c>
      <c r="J1854" s="50"/>
      <c r="K1854" s="50"/>
      <c r="L1854" s="50"/>
      <c r="M1854" s="50"/>
      <c r="N1854" s="50"/>
      <c r="O1854" s="50"/>
      <c r="P1854" s="49"/>
      <c r="Q1854" s="49"/>
      <c r="R1854" s="49"/>
      <c r="S1854" s="49"/>
      <c r="T1854" s="49"/>
      <c r="U1854" s="49"/>
      <c r="V1854" s="49"/>
      <c r="W1854" s="49"/>
      <c r="X1854" s="49"/>
      <c r="Y1854" s="49"/>
      <c r="Z1854" s="49"/>
      <c r="AA1854" s="49"/>
      <c r="AB1854" s="49"/>
      <c r="AC1854" s="49"/>
    </row>
    <row r="1855" spans="1:29">
      <c r="A1855" s="17">
        <v>1</v>
      </c>
      <c r="B1855" s="17">
        <v>0</v>
      </c>
      <c r="C1855" s="49"/>
      <c r="D1855" s="48">
        <v>4</v>
      </c>
      <c r="E1855" s="48" t="s">
        <v>15</v>
      </c>
      <c r="F1855" s="6">
        <v>2</v>
      </c>
      <c r="G1855" s="50"/>
      <c r="H1855" s="50"/>
      <c r="I1855" s="50"/>
      <c r="J1855" s="50"/>
      <c r="K1855" s="50"/>
      <c r="L1855" s="50"/>
      <c r="M1855" s="50"/>
      <c r="N1855" s="50"/>
      <c r="O1855" s="50"/>
      <c r="P1855" s="49"/>
      <c r="Q1855" s="49"/>
      <c r="R1855" s="49"/>
      <c r="S1855" s="49"/>
      <c r="T1855" s="49"/>
      <c r="U1855" s="49"/>
      <c r="V1855" s="49"/>
      <c r="W1855" s="49"/>
      <c r="X1855" s="49"/>
      <c r="Y1855" s="49"/>
      <c r="Z1855" s="49"/>
      <c r="AA1855" s="49"/>
      <c r="AB1855" s="49"/>
      <c r="AC1855" s="49"/>
    </row>
    <row r="1856" spans="1:29">
      <c r="A1856" s="49"/>
      <c r="B1856" s="49"/>
      <c r="C1856" s="49"/>
      <c r="D1856" s="48">
        <f>ROUNDUP(6+F1856/2,0)</f>
        <v>7</v>
      </c>
      <c r="E1856" s="48" t="s">
        <v>6</v>
      </c>
      <c r="F1856" s="6">
        <f>LEN(G1856)</f>
        <v>1</v>
      </c>
      <c r="G1856" s="41" t="s">
        <v>202</v>
      </c>
      <c r="H1856" s="6">
        <f>C1853-A1853*192-192</f>
        <v>1088</v>
      </c>
      <c r="I1856" s="6">
        <f>B1853</f>
        <v>3264</v>
      </c>
      <c r="J1856" s="50"/>
      <c r="K1856" s="50"/>
      <c r="L1856" s="50"/>
      <c r="M1856" s="50"/>
      <c r="N1856" s="50"/>
      <c r="O1856" s="50"/>
      <c r="P1856" s="49"/>
      <c r="Q1856" s="49"/>
      <c r="R1856" s="49"/>
      <c r="S1856" s="49"/>
      <c r="T1856" s="49"/>
      <c r="U1856" s="49"/>
      <c r="V1856" s="49"/>
      <c r="W1856" s="49"/>
      <c r="X1856" s="49"/>
      <c r="Y1856" s="49"/>
      <c r="Z1856" s="49"/>
      <c r="AA1856" s="49"/>
      <c r="AB1856" s="49"/>
      <c r="AC1856" s="49"/>
    </row>
    <row r="1857" spans="1:29">
      <c r="A1857" s="49"/>
      <c r="B1857" s="49"/>
      <c r="C1857" s="49"/>
      <c r="D1857" s="48">
        <f>ROUNDUP(6+F1857/2,0)</f>
        <v>7</v>
      </c>
      <c r="E1857" s="48" t="s">
        <v>6</v>
      </c>
      <c r="F1857" s="6">
        <f>LEN(G1857)</f>
        <v>1</v>
      </c>
      <c r="G1857" s="41" t="s">
        <v>202</v>
      </c>
      <c r="H1857" s="6">
        <f>H1856+384</f>
        <v>1472</v>
      </c>
      <c r="I1857" s="6">
        <f>I1856</f>
        <v>3264</v>
      </c>
      <c r="J1857" s="50"/>
      <c r="K1857" s="50"/>
      <c r="L1857" s="50"/>
      <c r="M1857" s="50"/>
      <c r="N1857" s="50"/>
      <c r="O1857" s="50"/>
      <c r="P1857" s="49"/>
      <c r="Q1857" s="49"/>
      <c r="R1857" s="49"/>
      <c r="S1857" s="49"/>
      <c r="T1857" s="49"/>
      <c r="U1857" s="49"/>
      <c r="V1857" s="49"/>
      <c r="W1857" s="49"/>
      <c r="X1857" s="49"/>
      <c r="Y1857" s="49"/>
      <c r="Z1857" s="49"/>
      <c r="AA1857" s="49"/>
      <c r="AB1857" s="49"/>
      <c r="AC1857" s="49"/>
    </row>
    <row r="1858" spans="1:29">
      <c r="A1858" s="49"/>
      <c r="B1858" s="49"/>
      <c r="C1858" s="49"/>
      <c r="D1858" s="48">
        <f>ROUNDUP(6+F1858/2,0)</f>
        <v>7</v>
      </c>
      <c r="E1858" s="48" t="s">
        <v>6</v>
      </c>
      <c r="F1858" s="6">
        <f>LEN(G1858)</f>
        <v>2</v>
      </c>
      <c r="G1858" s="41" t="s">
        <v>201</v>
      </c>
      <c r="H1858" s="6">
        <f>H1857+384</f>
        <v>1856</v>
      </c>
      <c r="I1858" s="6">
        <f>I1857</f>
        <v>3264</v>
      </c>
      <c r="J1858" s="50"/>
      <c r="K1858" s="50"/>
      <c r="L1858" s="50"/>
      <c r="M1858" s="50"/>
      <c r="N1858" s="50"/>
      <c r="O1858" s="50"/>
      <c r="P1858" s="49"/>
      <c r="Q1858" s="49"/>
      <c r="R1858" s="49"/>
      <c r="S1858" s="49"/>
      <c r="T1858" s="49"/>
      <c r="U1858" s="49"/>
      <c r="V1858" s="49"/>
      <c r="W1858" s="49"/>
      <c r="X1858" s="49"/>
      <c r="Y1858" s="49"/>
      <c r="Z1858" s="49"/>
      <c r="AA1858" s="49"/>
      <c r="AB1858" s="49"/>
      <c r="AC1858" s="49"/>
    </row>
    <row r="1859" spans="1:29">
      <c r="A1859" s="49"/>
      <c r="B1859" s="49"/>
      <c r="C1859" s="49"/>
      <c r="D1859" s="48">
        <f>ROUNDUP(6+F1859/2,0)</f>
        <v>7</v>
      </c>
      <c r="E1859" s="48" t="s">
        <v>6</v>
      </c>
      <c r="F1859" s="6">
        <f>LEN(G1859)</f>
        <v>2</v>
      </c>
      <c r="G1859" s="41" t="s">
        <v>201</v>
      </c>
      <c r="H1859" s="6">
        <f>H1858+384</f>
        <v>2240</v>
      </c>
      <c r="I1859" s="6">
        <f>I1858</f>
        <v>3264</v>
      </c>
      <c r="J1859" s="50"/>
      <c r="K1859" s="50"/>
      <c r="L1859" s="50"/>
      <c r="M1859" s="50"/>
      <c r="N1859" s="50"/>
      <c r="O1859" s="50"/>
      <c r="P1859" s="49"/>
      <c r="Q1859" s="49"/>
      <c r="R1859" s="49"/>
      <c r="S1859" s="49"/>
      <c r="T1859" s="49"/>
      <c r="U1859" s="49"/>
      <c r="V1859" s="49"/>
      <c r="W1859" s="49"/>
      <c r="X1859" s="49"/>
      <c r="Y1859" s="49"/>
      <c r="Z1859" s="49"/>
      <c r="AA1859" s="49"/>
      <c r="AB1859" s="49"/>
      <c r="AC1859" s="49"/>
    </row>
    <row r="1860" spans="1:29">
      <c r="A1860" s="49"/>
      <c r="B1860" s="49"/>
      <c r="C1860" s="49"/>
      <c r="D1860" s="48">
        <v>4</v>
      </c>
      <c r="E1860" s="48" t="s">
        <v>15</v>
      </c>
      <c r="F1860" s="6">
        <v>0</v>
      </c>
      <c r="G1860" s="50"/>
      <c r="H1860" s="50"/>
      <c r="I1860" s="50"/>
      <c r="J1860" s="50"/>
      <c r="K1860" s="50"/>
      <c r="L1860" s="50"/>
      <c r="M1860" s="50"/>
      <c r="N1860" s="50"/>
      <c r="O1860" s="50"/>
      <c r="P1860" s="49"/>
      <c r="Q1860" s="49"/>
      <c r="R1860" s="49"/>
      <c r="S1860" s="49"/>
      <c r="T1860" s="49"/>
      <c r="U1860" s="49"/>
      <c r="V1860" s="49"/>
      <c r="W1860" s="49"/>
      <c r="X1860" s="49"/>
      <c r="Y1860" s="49"/>
      <c r="Z1860" s="49"/>
      <c r="AA1860" s="49"/>
      <c r="AB1860" s="49"/>
      <c r="AC1860" s="49"/>
    </row>
    <row r="1861" spans="1:29">
      <c r="A1861" s="49">
        <f>B1853+784-384*B1855</f>
        <v>4048</v>
      </c>
      <c r="B1861" s="49">
        <f>C1853+256*B1864</f>
        <v>2560</v>
      </c>
      <c r="C1861" s="49">
        <f>B1861+1024*B1864</f>
        <v>4608</v>
      </c>
      <c r="D1861" s="49">
        <v>18</v>
      </c>
      <c r="E1861" s="49" t="s">
        <v>111</v>
      </c>
      <c r="F1861" s="50">
        <v>100</v>
      </c>
      <c r="G1861" s="50">
        <f>A1861+128</f>
        <v>4176</v>
      </c>
      <c r="H1861" s="50">
        <f>B1861</f>
        <v>2560</v>
      </c>
      <c r="I1861" s="50">
        <f>G1861+512+B1855*384</f>
        <v>4688</v>
      </c>
      <c r="J1861" s="50">
        <f>C1861</f>
        <v>4608</v>
      </c>
      <c r="K1861" s="50"/>
      <c r="L1861" s="50"/>
      <c r="M1861" s="50"/>
      <c r="N1861" s="50"/>
      <c r="O1861" s="50"/>
      <c r="P1861" s="49"/>
      <c r="Q1861" s="49"/>
      <c r="R1861" s="49"/>
      <c r="S1861" s="49"/>
      <c r="T1861" s="49"/>
      <c r="U1861" s="49"/>
      <c r="V1861" s="49"/>
      <c r="W1861" s="49"/>
      <c r="X1861" s="49"/>
      <c r="Y1861" s="49"/>
      <c r="Z1861" s="49"/>
      <c r="AA1861" s="49"/>
      <c r="AB1861" s="49"/>
      <c r="AC1861" s="49"/>
    </row>
    <row r="1862" spans="1:29">
      <c r="A1862" s="49">
        <f>A1861</f>
        <v>4048</v>
      </c>
      <c r="B1862" s="49">
        <f>C1853+256*C1864</f>
        <v>2048</v>
      </c>
      <c r="C1862" s="49">
        <f>B1862+1024*C1864</f>
        <v>2048</v>
      </c>
      <c r="D1862" s="49">
        <v>18</v>
      </c>
      <c r="E1862" s="49" t="s">
        <v>111</v>
      </c>
      <c r="F1862" s="50">
        <v>100</v>
      </c>
      <c r="G1862" s="50">
        <f>A1862+128</f>
        <v>4176</v>
      </c>
      <c r="H1862" s="50">
        <f>B1862</f>
        <v>2048</v>
      </c>
      <c r="I1862" s="50">
        <f>G1862+512+B1855*384</f>
        <v>4688</v>
      </c>
      <c r="J1862" s="50">
        <f>C1862</f>
        <v>2048</v>
      </c>
      <c r="K1862" s="50"/>
      <c r="L1862" s="50"/>
      <c r="M1862" s="50"/>
      <c r="N1862" s="50"/>
      <c r="O1862" s="50"/>
      <c r="P1862" s="49"/>
      <c r="Q1862" s="49"/>
      <c r="R1862" s="49"/>
      <c r="S1862" s="49"/>
      <c r="T1862" s="49"/>
      <c r="U1862" s="49"/>
      <c r="V1862" s="49"/>
      <c r="W1862" s="49"/>
      <c r="X1862" s="49"/>
      <c r="Y1862" s="49"/>
      <c r="Z1862" s="49"/>
      <c r="AA1862" s="49"/>
      <c r="AB1862" s="49"/>
      <c r="AC1862" s="49"/>
    </row>
    <row r="1863" spans="1:29">
      <c r="A1863" s="49" t="s">
        <v>8</v>
      </c>
      <c r="B1863" s="49" t="s">
        <v>221</v>
      </c>
      <c r="C1863" s="49" t="s">
        <v>222</v>
      </c>
      <c r="D1863" s="49">
        <f>ROUNDUP(6+F1863/2,0)</f>
        <v>8</v>
      </c>
      <c r="E1863" s="49" t="s">
        <v>6</v>
      </c>
      <c r="F1863" s="50">
        <f>LEN(G1863)</f>
        <v>3</v>
      </c>
      <c r="G1863" s="37" t="s">
        <v>234</v>
      </c>
      <c r="H1863" s="50">
        <f>H1861/2+J1861/2-IF(B1864,128,320)</f>
        <v>3456</v>
      </c>
      <c r="I1863" s="50">
        <f>G1861+128</f>
        <v>4304</v>
      </c>
      <c r="J1863" s="50"/>
      <c r="K1863" s="50"/>
      <c r="L1863" s="50"/>
      <c r="M1863" s="50"/>
      <c r="N1863" s="50"/>
      <c r="O1863" s="50"/>
      <c r="P1863" s="49"/>
      <c r="Q1863" s="49"/>
      <c r="R1863" s="49"/>
      <c r="S1863" s="49"/>
      <c r="T1863" s="49"/>
      <c r="U1863" s="49"/>
      <c r="V1863" s="49"/>
      <c r="W1863" s="49"/>
      <c r="X1863" s="49"/>
      <c r="Y1863" s="49"/>
      <c r="Z1863" s="49"/>
      <c r="AA1863" s="49"/>
      <c r="AB1863" s="49"/>
      <c r="AC1863" s="49"/>
    </row>
    <row r="1864" spans="1:29">
      <c r="A1864" s="49" t="s">
        <v>223</v>
      </c>
      <c r="B1864" s="49">
        <v>2</v>
      </c>
      <c r="C1864" s="49">
        <v>0</v>
      </c>
      <c r="D1864" s="49">
        <f>ROUNDUP(6+F1864/2,0)</f>
        <v>8</v>
      </c>
      <c r="E1864" s="49" t="s">
        <v>6</v>
      </c>
      <c r="F1864" s="50">
        <f>LEN(G1864)</f>
        <v>3</v>
      </c>
      <c r="G1864" s="37" t="s">
        <v>234</v>
      </c>
      <c r="H1864" s="50">
        <f>H1862/2+J1862/2-IF(C1864,128,320)</f>
        <v>1728</v>
      </c>
      <c r="I1864" s="50">
        <f>G1862+128</f>
        <v>4304</v>
      </c>
      <c r="J1864" s="50"/>
      <c r="K1864" s="50"/>
      <c r="L1864" s="50"/>
      <c r="M1864" s="50"/>
      <c r="N1864" s="50"/>
      <c r="O1864" s="50"/>
      <c r="P1864" s="49"/>
      <c r="Q1864" s="49"/>
      <c r="R1864" s="49"/>
      <c r="S1864" s="49"/>
      <c r="T1864" s="49"/>
      <c r="U1864" s="49"/>
      <c r="V1864" s="49"/>
      <c r="W1864" s="49"/>
      <c r="X1864" s="49"/>
      <c r="Y1864" s="49"/>
      <c r="Z1864" s="49"/>
      <c r="AA1864" s="49"/>
      <c r="AB1864" s="49"/>
      <c r="AC1864" s="49"/>
    </row>
    <row r="1865" spans="1:29">
      <c r="A1865" s="49"/>
      <c r="B1865" s="49"/>
      <c r="C1865" s="49"/>
      <c r="D1865" s="49">
        <v>7</v>
      </c>
      <c r="E1865" s="49" t="s">
        <v>5</v>
      </c>
      <c r="F1865" s="50">
        <f>C1853</f>
        <v>2048</v>
      </c>
      <c r="G1865" s="50">
        <f>B1853</f>
        <v>3264</v>
      </c>
      <c r="H1865" s="50">
        <f>F1865+768</f>
        <v>2816</v>
      </c>
      <c r="I1865" s="50">
        <f>G1865+768</f>
        <v>4032</v>
      </c>
      <c r="J1865" s="50"/>
      <c r="K1865" s="50"/>
      <c r="L1865" s="50"/>
      <c r="M1865" s="50"/>
      <c r="N1865" s="50"/>
      <c r="O1865" s="50"/>
      <c r="P1865" s="49"/>
      <c r="Q1865" s="49"/>
      <c r="R1865" s="49"/>
      <c r="S1865" s="49"/>
      <c r="T1865" s="49"/>
      <c r="U1865" s="49"/>
      <c r="V1865" s="49"/>
      <c r="W1865" s="49"/>
      <c r="X1865" s="49"/>
      <c r="Y1865" s="49"/>
      <c r="Z1865" s="49"/>
      <c r="AA1865" s="49"/>
      <c r="AB1865" s="49"/>
      <c r="AC1865" s="49"/>
    </row>
    <row r="1866" spans="1:29">
      <c r="A1866" s="49"/>
      <c r="B1866" s="49"/>
      <c r="C1866" s="49"/>
      <c r="D1866" s="49">
        <f>F1866*2+4</f>
        <v>8</v>
      </c>
      <c r="E1866" s="49" t="s">
        <v>1</v>
      </c>
      <c r="F1866" s="50">
        <v>2</v>
      </c>
      <c r="G1866" s="50">
        <f>B1853</f>
        <v>3264</v>
      </c>
      <c r="H1866" s="50">
        <f>C1853-384</f>
        <v>1664</v>
      </c>
      <c r="I1866" s="50">
        <f>G1866+384</f>
        <v>3648</v>
      </c>
      <c r="J1866" s="50">
        <f>H1866</f>
        <v>1664</v>
      </c>
      <c r="K1866" s="50"/>
      <c r="L1866" s="50"/>
      <c r="M1866" s="50"/>
      <c r="N1866" s="50"/>
      <c r="O1866" s="50"/>
      <c r="P1866" s="49"/>
      <c r="Q1866" s="49"/>
      <c r="R1866" s="49"/>
      <c r="S1866" s="49"/>
      <c r="T1866" s="49"/>
      <c r="U1866" s="49"/>
      <c r="V1866" s="49"/>
      <c r="W1866" s="49"/>
      <c r="X1866" s="49"/>
      <c r="Y1866" s="49"/>
      <c r="Z1866" s="49"/>
      <c r="AA1866" s="49"/>
      <c r="AB1866" s="49"/>
      <c r="AC1866" s="49"/>
    </row>
    <row r="1867" spans="1:29">
      <c r="A1867" s="49"/>
      <c r="B1867" s="49"/>
      <c r="C1867" s="49"/>
      <c r="D1867" s="49">
        <f>F1867*2+4</f>
        <v>8</v>
      </c>
      <c r="E1867" s="49" t="s">
        <v>1</v>
      </c>
      <c r="F1867" s="50">
        <v>2</v>
      </c>
      <c r="G1867" s="50">
        <f>B1853</f>
        <v>3264</v>
      </c>
      <c r="H1867" s="50">
        <f>C1853+384</f>
        <v>2432</v>
      </c>
      <c r="I1867" s="50">
        <f>G1867+768</f>
        <v>4032</v>
      </c>
      <c r="J1867" s="50">
        <f>H1867</f>
        <v>2432</v>
      </c>
      <c r="K1867" s="50"/>
      <c r="L1867" s="50"/>
      <c r="M1867" s="50"/>
      <c r="N1867" s="50"/>
      <c r="O1867" s="50"/>
      <c r="P1867" s="49"/>
      <c r="Q1867" s="49"/>
      <c r="R1867" s="49"/>
      <c r="S1867" s="49"/>
      <c r="T1867" s="49"/>
      <c r="U1867" s="49"/>
      <c r="V1867" s="49"/>
      <c r="W1867" s="49"/>
      <c r="X1867" s="49"/>
      <c r="Y1867" s="49"/>
      <c r="Z1867" s="49"/>
      <c r="AA1867" s="49"/>
      <c r="AB1867" s="49"/>
      <c r="AC1867" s="49"/>
    </row>
    <row r="1868" spans="1:29">
      <c r="A1868" s="17" t="s">
        <v>42</v>
      </c>
      <c r="B1868" s="14" t="s">
        <v>8</v>
      </c>
      <c r="C1868" s="49" t="s">
        <v>7</v>
      </c>
      <c r="D1868" s="49">
        <v>7</v>
      </c>
      <c r="E1868" s="49" t="s">
        <v>5</v>
      </c>
      <c r="F1868" s="50">
        <f>C1869+A1869*192</f>
        <v>2816</v>
      </c>
      <c r="G1868" s="50">
        <f>B1869</f>
        <v>4864</v>
      </c>
      <c r="H1868" s="50">
        <f>C1869-192*A1869</f>
        <v>1280</v>
      </c>
      <c r="I1868" s="50">
        <f>G1868+384*A1871</f>
        <v>5248</v>
      </c>
      <c r="J1868" s="50"/>
      <c r="K1868" s="50"/>
      <c r="L1868" s="50"/>
      <c r="M1868" s="50"/>
      <c r="N1868" s="50"/>
      <c r="O1868" s="50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9"/>
    </row>
    <row r="1869" spans="1:29">
      <c r="A1869" s="17">
        <v>4</v>
      </c>
      <c r="B1869" s="15">
        <f>B1853+6.25*256</f>
        <v>4864</v>
      </c>
      <c r="C1869" s="7">
        <f>C1853</f>
        <v>2048</v>
      </c>
      <c r="D1869" s="49">
        <f>ROUNDUP(6+F1869/2,0)</f>
        <v>8</v>
      </c>
      <c r="E1869" s="49" t="s">
        <v>6</v>
      </c>
      <c r="F1869" s="50">
        <f>LEN(G1869)</f>
        <v>3</v>
      </c>
      <c r="G1869" s="50" t="str">
        <f>"N="&amp;A1869</f>
        <v>N=4</v>
      </c>
      <c r="H1869" s="50">
        <f>C1869+192*A1869</f>
        <v>2816</v>
      </c>
      <c r="I1869" s="50">
        <f>B1869</f>
        <v>4864</v>
      </c>
      <c r="J1869" s="50"/>
      <c r="K1869" s="50"/>
      <c r="L1869" s="50"/>
      <c r="M1869" s="50"/>
      <c r="N1869" s="50"/>
      <c r="O1869" s="50"/>
      <c r="P1869" s="49"/>
      <c r="Q1869" s="49"/>
      <c r="R1869" s="49"/>
      <c r="S1869" s="49"/>
      <c r="T1869" s="49"/>
      <c r="U1869" s="49"/>
      <c r="V1869" s="49"/>
      <c r="W1869" s="49"/>
      <c r="X1869" s="49"/>
      <c r="Y1869" s="49"/>
      <c r="Z1869" s="49"/>
      <c r="AA1869" s="49"/>
      <c r="AB1869" s="49"/>
      <c r="AC1869" s="49"/>
    </row>
    <row r="1870" spans="1:29">
      <c r="A1870" s="17" t="s">
        <v>219</v>
      </c>
      <c r="B1870" s="14" t="s">
        <v>111</v>
      </c>
      <c r="C1870" s="49"/>
      <c r="D1870" s="49">
        <f>ROUNDUP(6+F1870/2,0)</f>
        <v>9</v>
      </c>
      <c r="E1870" s="49" t="s">
        <v>6</v>
      </c>
      <c r="F1870" s="50">
        <f>LEN(G1870)</f>
        <v>6</v>
      </c>
      <c r="G1870" s="36" t="s">
        <v>235</v>
      </c>
      <c r="H1870" s="50">
        <f>C1869-192*A1869-320</f>
        <v>960</v>
      </c>
      <c r="I1870" s="50">
        <f>B1869</f>
        <v>4864</v>
      </c>
      <c r="J1870" s="50"/>
      <c r="K1870" s="50"/>
      <c r="L1870" s="50"/>
      <c r="M1870" s="50"/>
      <c r="N1870" s="50"/>
      <c r="O1870" s="50"/>
      <c r="P1870" s="49"/>
      <c r="Q1870" s="49"/>
      <c r="R1870" s="49"/>
      <c r="S1870" s="49"/>
      <c r="T1870" s="49"/>
      <c r="U1870" s="49"/>
      <c r="V1870" s="49"/>
      <c r="W1870" s="49"/>
      <c r="X1870" s="49"/>
      <c r="Y1870" s="49"/>
      <c r="Z1870" s="49"/>
      <c r="AA1870" s="49"/>
      <c r="AB1870" s="49"/>
      <c r="AC1870" s="49"/>
    </row>
    <row r="1871" spans="1:29">
      <c r="A1871" s="17">
        <v>1</v>
      </c>
      <c r="B1871" s="17">
        <v>0</v>
      </c>
      <c r="C1871" s="49"/>
      <c r="D1871" s="48">
        <v>4</v>
      </c>
      <c r="E1871" s="48" t="s">
        <v>15</v>
      </c>
      <c r="F1871" s="6">
        <v>2</v>
      </c>
      <c r="G1871" s="50"/>
      <c r="H1871" s="50"/>
      <c r="I1871" s="50"/>
      <c r="J1871" s="50"/>
      <c r="K1871" s="50"/>
      <c r="L1871" s="50"/>
      <c r="M1871" s="50"/>
      <c r="N1871" s="50"/>
      <c r="O1871" s="50"/>
      <c r="P1871" s="49"/>
      <c r="Q1871" s="49"/>
      <c r="R1871" s="49"/>
      <c r="S1871" s="49"/>
      <c r="T1871" s="49"/>
      <c r="U1871" s="49"/>
      <c r="V1871" s="49"/>
      <c r="W1871" s="49"/>
      <c r="X1871" s="49"/>
      <c r="Y1871" s="49"/>
      <c r="Z1871" s="49"/>
      <c r="AA1871" s="49"/>
      <c r="AB1871" s="49"/>
      <c r="AC1871" s="49"/>
    </row>
    <row r="1872" spans="1:29">
      <c r="A1872" s="49"/>
      <c r="B1872" s="49"/>
      <c r="C1872" s="49"/>
      <c r="D1872" s="48">
        <f>ROUNDUP(6+F1872/2,0)</f>
        <v>7</v>
      </c>
      <c r="E1872" s="48" t="s">
        <v>6</v>
      </c>
      <c r="F1872" s="6">
        <f>LEN(G1872)</f>
        <v>1</v>
      </c>
      <c r="G1872" s="41" t="s">
        <v>202</v>
      </c>
      <c r="H1872" s="6">
        <f>C1869-A1869*192-192</f>
        <v>1088</v>
      </c>
      <c r="I1872" s="6">
        <f>B1869</f>
        <v>4864</v>
      </c>
      <c r="J1872" s="50"/>
      <c r="K1872" s="50"/>
      <c r="L1872" s="50"/>
      <c r="M1872" s="50"/>
      <c r="N1872" s="50"/>
      <c r="O1872" s="50"/>
      <c r="P1872" s="49"/>
      <c r="Q1872" s="49"/>
      <c r="R1872" s="49"/>
      <c r="S1872" s="49"/>
      <c r="T1872" s="49"/>
      <c r="U1872" s="49"/>
      <c r="V1872" s="49"/>
      <c r="W1872" s="49"/>
      <c r="X1872" s="49"/>
      <c r="Y1872" s="49"/>
      <c r="Z1872" s="49"/>
      <c r="AA1872" s="49"/>
      <c r="AB1872" s="49"/>
      <c r="AC1872" s="49"/>
    </row>
    <row r="1873" spans="1:29">
      <c r="A1873" s="49"/>
      <c r="B1873" s="49"/>
      <c r="C1873" s="49"/>
      <c r="D1873" s="48">
        <f>ROUNDUP(6+F1873/2,0)</f>
        <v>7</v>
      </c>
      <c r="E1873" s="48" t="s">
        <v>6</v>
      </c>
      <c r="F1873" s="6">
        <f>LEN(G1873)</f>
        <v>1</v>
      </c>
      <c r="G1873" s="41" t="s">
        <v>202</v>
      </c>
      <c r="H1873" s="6">
        <f>H1872+384</f>
        <v>1472</v>
      </c>
      <c r="I1873" s="6">
        <f>I1872</f>
        <v>4864</v>
      </c>
      <c r="J1873" s="50"/>
      <c r="K1873" s="50"/>
      <c r="L1873" s="50"/>
      <c r="M1873" s="50"/>
      <c r="N1873" s="50"/>
      <c r="O1873" s="50"/>
      <c r="P1873" s="49"/>
      <c r="Q1873" s="49"/>
      <c r="R1873" s="49"/>
      <c r="S1873" s="49"/>
      <c r="T1873" s="49"/>
      <c r="U1873" s="49"/>
      <c r="V1873" s="49"/>
      <c r="W1873" s="49"/>
      <c r="X1873" s="49"/>
      <c r="Y1873" s="49"/>
      <c r="Z1873" s="49"/>
      <c r="AA1873" s="49"/>
      <c r="AB1873" s="49"/>
      <c r="AC1873" s="49"/>
    </row>
    <row r="1874" spans="1:29">
      <c r="A1874" s="49"/>
      <c r="B1874" s="49"/>
      <c r="C1874" s="49"/>
      <c r="D1874" s="48">
        <f>ROUNDUP(6+F1874/2,0)</f>
        <v>7</v>
      </c>
      <c r="E1874" s="48" t="s">
        <v>6</v>
      </c>
      <c r="F1874" s="6">
        <f>LEN(G1874)</f>
        <v>1</v>
      </c>
      <c r="G1874" s="41" t="s">
        <v>202</v>
      </c>
      <c r="H1874" s="6">
        <f>H1873+384</f>
        <v>1856</v>
      </c>
      <c r="I1874" s="6">
        <f>I1873</f>
        <v>4864</v>
      </c>
      <c r="J1874" s="50"/>
      <c r="K1874" s="50"/>
      <c r="L1874" s="50"/>
      <c r="M1874" s="50"/>
      <c r="N1874" s="50"/>
      <c r="O1874" s="50"/>
      <c r="P1874" s="49"/>
      <c r="Q1874" s="49"/>
      <c r="R1874" s="49"/>
      <c r="S1874" s="49"/>
      <c r="T1874" s="49"/>
      <c r="U1874" s="49"/>
      <c r="V1874" s="49"/>
      <c r="W1874" s="49"/>
      <c r="X1874" s="49"/>
      <c r="Y1874" s="49"/>
      <c r="Z1874" s="49"/>
      <c r="AA1874" s="49"/>
      <c r="AB1874" s="49"/>
      <c r="AC1874" s="49"/>
    </row>
    <row r="1875" spans="1:29">
      <c r="A1875" s="49"/>
      <c r="B1875" s="49"/>
      <c r="C1875" s="49"/>
      <c r="D1875" s="48">
        <f>ROUNDUP(6+F1875/2,0)</f>
        <v>7</v>
      </c>
      <c r="E1875" s="48" t="s">
        <v>6</v>
      </c>
      <c r="F1875" s="6">
        <f>LEN(G1875)</f>
        <v>2</v>
      </c>
      <c r="G1875" s="41" t="s">
        <v>201</v>
      </c>
      <c r="H1875" s="6">
        <f>H1874+384</f>
        <v>2240</v>
      </c>
      <c r="I1875" s="6">
        <f>I1874</f>
        <v>4864</v>
      </c>
      <c r="J1875" s="50"/>
      <c r="K1875" s="50"/>
      <c r="L1875" s="50"/>
      <c r="M1875" s="50"/>
      <c r="N1875" s="50"/>
      <c r="O1875" s="50"/>
      <c r="P1875" s="49"/>
      <c r="Q1875" s="49"/>
      <c r="R1875" s="49"/>
      <c r="S1875" s="49"/>
      <c r="T1875" s="49"/>
      <c r="U1875" s="49"/>
      <c r="V1875" s="49"/>
      <c r="W1875" s="49"/>
      <c r="X1875" s="49"/>
      <c r="Y1875" s="49"/>
      <c r="Z1875" s="49"/>
      <c r="AA1875" s="49"/>
      <c r="AB1875" s="49"/>
      <c r="AC1875" s="49"/>
    </row>
    <row r="1876" spans="1:29">
      <c r="A1876" s="49"/>
      <c r="B1876" s="49"/>
      <c r="C1876" s="49"/>
      <c r="D1876" s="48">
        <v>4</v>
      </c>
      <c r="E1876" s="48" t="s">
        <v>15</v>
      </c>
      <c r="F1876" s="6">
        <v>0</v>
      </c>
      <c r="G1876" s="50"/>
      <c r="H1876" s="50"/>
      <c r="I1876" s="50"/>
      <c r="J1876" s="50"/>
      <c r="K1876" s="50"/>
      <c r="L1876" s="50"/>
      <c r="M1876" s="50"/>
      <c r="N1876" s="50"/>
      <c r="O1876" s="50"/>
      <c r="P1876" s="49"/>
      <c r="Q1876" s="49"/>
      <c r="R1876" s="49"/>
      <c r="S1876" s="49"/>
      <c r="T1876" s="49"/>
      <c r="U1876" s="49"/>
      <c r="V1876" s="49"/>
      <c r="W1876" s="49"/>
      <c r="X1876" s="49"/>
      <c r="Y1876" s="49"/>
      <c r="Z1876" s="49"/>
      <c r="AA1876" s="49"/>
      <c r="AB1876" s="49"/>
      <c r="AC1876" s="49"/>
    </row>
    <row r="1877" spans="1:29">
      <c r="A1877" s="49">
        <f>B1869+784-384*B1871</f>
        <v>5648</v>
      </c>
      <c r="B1877" s="49">
        <f>C1869+256*B1880</f>
        <v>2304</v>
      </c>
      <c r="C1877" s="49">
        <f>B1877+1024*B1880</f>
        <v>3328</v>
      </c>
      <c r="D1877" s="49">
        <v>18</v>
      </c>
      <c r="E1877" s="49" t="s">
        <v>111</v>
      </c>
      <c r="F1877" s="50">
        <v>100</v>
      </c>
      <c r="G1877" s="50">
        <f>A1877+128</f>
        <v>5776</v>
      </c>
      <c r="H1877" s="50">
        <f>B1877</f>
        <v>2304</v>
      </c>
      <c r="I1877" s="50">
        <f>G1877+512+B1871*384</f>
        <v>6288</v>
      </c>
      <c r="J1877" s="50">
        <f>C1877</f>
        <v>3328</v>
      </c>
      <c r="K1877" s="50"/>
      <c r="L1877" s="50"/>
      <c r="M1877" s="50"/>
      <c r="N1877" s="50"/>
      <c r="O1877" s="50"/>
      <c r="P1877" s="49"/>
      <c r="Q1877" s="49"/>
      <c r="R1877" s="49"/>
      <c r="S1877" s="49"/>
      <c r="T1877" s="49"/>
      <c r="U1877" s="49"/>
      <c r="V1877" s="49"/>
      <c r="W1877" s="49"/>
      <c r="X1877" s="49"/>
      <c r="Y1877" s="49"/>
      <c r="Z1877" s="49"/>
      <c r="AA1877" s="49"/>
      <c r="AB1877" s="49"/>
      <c r="AC1877" s="49"/>
    </row>
    <row r="1878" spans="1:29">
      <c r="A1878" s="49">
        <f>A1877</f>
        <v>5648</v>
      </c>
      <c r="B1878" s="49">
        <f>C1869+256*C1880</f>
        <v>1920</v>
      </c>
      <c r="C1878" s="49">
        <f>B1878+1024*C1880</f>
        <v>1408</v>
      </c>
      <c r="D1878" s="49">
        <v>18</v>
      </c>
      <c r="E1878" s="49" t="s">
        <v>111</v>
      </c>
      <c r="F1878" s="50">
        <v>100</v>
      </c>
      <c r="G1878" s="50">
        <f>A1878+128</f>
        <v>5776</v>
      </c>
      <c r="H1878" s="50">
        <f>B1878</f>
        <v>1920</v>
      </c>
      <c r="I1878" s="50">
        <f>G1878+512+B1871*384</f>
        <v>6288</v>
      </c>
      <c r="J1878" s="50">
        <f>C1878</f>
        <v>1408</v>
      </c>
      <c r="K1878" s="50"/>
      <c r="L1878" s="50"/>
      <c r="M1878" s="50"/>
      <c r="N1878" s="50"/>
      <c r="O1878" s="50"/>
      <c r="P1878" s="49"/>
      <c r="Q1878" s="49"/>
      <c r="R1878" s="49"/>
      <c r="S1878" s="49"/>
      <c r="T1878" s="49"/>
      <c r="U1878" s="49"/>
      <c r="V1878" s="49"/>
      <c r="W1878" s="49"/>
      <c r="X1878" s="49"/>
      <c r="Y1878" s="49"/>
      <c r="Z1878" s="49"/>
      <c r="AA1878" s="49"/>
      <c r="AB1878" s="49"/>
      <c r="AC1878" s="49"/>
    </row>
    <row r="1879" spans="1:29">
      <c r="A1879" s="49" t="s">
        <v>8</v>
      </c>
      <c r="B1879" s="49" t="s">
        <v>221</v>
      </c>
      <c r="C1879" s="49" t="s">
        <v>222</v>
      </c>
      <c r="D1879" s="49">
        <f>ROUNDUP(6+F1879/2,0)</f>
        <v>8</v>
      </c>
      <c r="E1879" s="49" t="s">
        <v>6</v>
      </c>
      <c r="F1879" s="50">
        <f>LEN(G1879)</f>
        <v>3</v>
      </c>
      <c r="G1879" s="37" t="s">
        <v>231</v>
      </c>
      <c r="H1879" s="50">
        <f>H1877/2+J1877/2-IF(B1880,128,320)</f>
        <v>2688</v>
      </c>
      <c r="I1879" s="50">
        <f>G1877+128</f>
        <v>5904</v>
      </c>
      <c r="J1879" s="50"/>
      <c r="K1879" s="50"/>
      <c r="L1879" s="50"/>
      <c r="M1879" s="50"/>
      <c r="N1879" s="50"/>
      <c r="O1879" s="50"/>
      <c r="P1879" s="49"/>
      <c r="Q1879" s="49"/>
      <c r="R1879" s="49"/>
      <c r="S1879" s="49"/>
      <c r="T1879" s="49"/>
      <c r="U1879" s="49"/>
      <c r="V1879" s="49"/>
      <c r="W1879" s="49"/>
      <c r="X1879" s="49"/>
      <c r="Y1879" s="49"/>
      <c r="Z1879" s="49"/>
      <c r="AA1879" s="49"/>
      <c r="AB1879" s="49"/>
      <c r="AC1879" s="49"/>
    </row>
    <row r="1880" spans="1:29">
      <c r="A1880" s="49" t="s">
        <v>223</v>
      </c>
      <c r="B1880" s="49">
        <v>1</v>
      </c>
      <c r="C1880" s="49">
        <v>-0.5</v>
      </c>
      <c r="D1880" s="49">
        <f>ROUNDUP(6+F1880/2,0)</f>
        <v>8</v>
      </c>
      <c r="E1880" s="49" t="s">
        <v>6</v>
      </c>
      <c r="F1880" s="50">
        <f>LEN(G1880)</f>
        <v>3</v>
      </c>
      <c r="G1880" s="37" t="s">
        <v>230</v>
      </c>
      <c r="H1880" s="50">
        <f>H1878/2+J1878/2-IF(C1880,128,320)</f>
        <v>1536</v>
      </c>
      <c r="I1880" s="50">
        <f>G1878+128</f>
        <v>5904</v>
      </c>
      <c r="J1880" s="50"/>
      <c r="K1880" s="50"/>
      <c r="L1880" s="50"/>
      <c r="M1880" s="50"/>
      <c r="N1880" s="50"/>
      <c r="O1880" s="50"/>
      <c r="P1880" s="49"/>
      <c r="Q1880" s="49"/>
      <c r="R1880" s="49"/>
      <c r="S1880" s="49"/>
      <c r="T1880" s="49"/>
      <c r="U1880" s="49"/>
      <c r="V1880" s="49"/>
      <c r="W1880" s="49"/>
      <c r="X1880" s="49"/>
      <c r="Y1880" s="49"/>
      <c r="Z1880" s="49"/>
      <c r="AA1880" s="49"/>
      <c r="AB1880" s="49"/>
      <c r="AC1880" s="49"/>
    </row>
    <row r="1881" spans="1:29">
      <c r="A1881" s="49"/>
      <c r="B1881" s="49"/>
      <c r="C1881" s="49"/>
      <c r="D1881" s="49">
        <v>7</v>
      </c>
      <c r="E1881" s="49" t="s">
        <v>5</v>
      </c>
      <c r="F1881" s="50">
        <f>C1869</f>
        <v>2048</v>
      </c>
      <c r="G1881" s="50">
        <f>B1869</f>
        <v>4864</v>
      </c>
      <c r="H1881" s="50">
        <f>F1881-384</f>
        <v>1664</v>
      </c>
      <c r="I1881" s="50">
        <f>G1881+384</f>
        <v>5248</v>
      </c>
      <c r="J1881" s="50"/>
      <c r="K1881" s="50"/>
      <c r="L1881" s="50"/>
      <c r="M1881" s="50"/>
      <c r="N1881" s="50"/>
      <c r="O1881" s="50"/>
      <c r="P1881" s="49"/>
      <c r="Q1881" s="49"/>
      <c r="R1881" s="49"/>
      <c r="S1881" s="49"/>
      <c r="T1881" s="49"/>
      <c r="U1881" s="49"/>
      <c r="V1881" s="49"/>
      <c r="W1881" s="49"/>
      <c r="X1881" s="49"/>
      <c r="Y1881" s="49"/>
      <c r="Z1881" s="49"/>
      <c r="AA1881" s="49"/>
      <c r="AB1881" s="49"/>
      <c r="AC1881" s="49"/>
    </row>
    <row r="1882" spans="1:29">
      <c r="A1882" s="49"/>
      <c r="B1882" s="49"/>
      <c r="C1882" s="49"/>
      <c r="D1882" s="49">
        <v>7</v>
      </c>
      <c r="E1882" s="49" t="s">
        <v>5</v>
      </c>
      <c r="F1882" s="50">
        <f>C1869+768</f>
        <v>2816</v>
      </c>
      <c r="G1882" s="50">
        <f>B1869</f>
        <v>4864</v>
      </c>
      <c r="H1882" s="50">
        <f>F1882-384</f>
        <v>2432</v>
      </c>
      <c r="I1882" s="50">
        <f>G1882+768</f>
        <v>5632</v>
      </c>
      <c r="J1882" s="50"/>
      <c r="K1882" s="50"/>
      <c r="L1882" s="50"/>
      <c r="M1882" s="50"/>
      <c r="N1882" s="50"/>
      <c r="O1882" s="50"/>
      <c r="P1882" s="49"/>
      <c r="Q1882" s="49"/>
      <c r="R1882" s="49"/>
      <c r="S1882" s="49"/>
      <c r="T1882" s="49"/>
      <c r="U1882" s="49"/>
      <c r="V1882" s="49"/>
      <c r="W1882" s="49"/>
      <c r="X1882" s="49"/>
      <c r="Y1882" s="49"/>
      <c r="Z1882" s="49"/>
      <c r="AA1882" s="49"/>
      <c r="AB1882" s="49"/>
      <c r="AC1882" s="49"/>
    </row>
    <row r="1883" spans="1:29">
      <c r="A1883" s="17" t="s">
        <v>42</v>
      </c>
      <c r="B1883" s="14" t="s">
        <v>8</v>
      </c>
      <c r="C1883" s="49" t="s">
        <v>7</v>
      </c>
      <c r="D1883" s="49">
        <v>7</v>
      </c>
      <c r="E1883" s="49" t="s">
        <v>5</v>
      </c>
      <c r="F1883" s="50">
        <f>C1884+A1884*192</f>
        <v>2048</v>
      </c>
      <c r="G1883" s="50">
        <f>B1884</f>
        <v>6464</v>
      </c>
      <c r="H1883" s="50">
        <f>C1884-192*A1884</f>
        <v>512</v>
      </c>
      <c r="I1883" s="50">
        <f>G1883+384*A1886</f>
        <v>6848</v>
      </c>
      <c r="J1883" s="50"/>
      <c r="K1883" s="50"/>
      <c r="L1883" s="50"/>
      <c r="M1883" s="50"/>
      <c r="N1883" s="50"/>
      <c r="O1883" s="50"/>
      <c r="P1883" s="49"/>
      <c r="Q1883" s="49"/>
      <c r="R1883" s="49"/>
      <c r="S1883" s="49"/>
      <c r="T1883" s="49"/>
      <c r="U1883" s="49"/>
      <c r="V1883" s="49"/>
      <c r="W1883" s="49"/>
      <c r="X1883" s="49"/>
      <c r="Y1883" s="49"/>
      <c r="Z1883" s="49"/>
      <c r="AA1883" s="49"/>
      <c r="AB1883" s="49"/>
      <c r="AC1883" s="49"/>
    </row>
    <row r="1884" spans="1:29">
      <c r="A1884" s="17">
        <v>4</v>
      </c>
      <c r="B1884" s="15">
        <f>B1869+6.25*256</f>
        <v>6464</v>
      </c>
      <c r="C1884" s="7">
        <f>C1869-768</f>
        <v>1280</v>
      </c>
      <c r="D1884" s="49">
        <f>ROUNDUP(6+F1884/2,0)</f>
        <v>8</v>
      </c>
      <c r="E1884" s="49" t="s">
        <v>6</v>
      </c>
      <c r="F1884" s="50">
        <f>LEN(G1884)</f>
        <v>3</v>
      </c>
      <c r="G1884" s="50" t="str">
        <f>"N="&amp;A1884</f>
        <v>N=4</v>
      </c>
      <c r="H1884" s="50">
        <f>C1884+192*A1884</f>
        <v>2048</v>
      </c>
      <c r="I1884" s="50">
        <f>B1884</f>
        <v>6464</v>
      </c>
      <c r="J1884" s="50"/>
      <c r="K1884" s="50"/>
      <c r="L1884" s="50"/>
      <c r="M1884" s="50"/>
      <c r="N1884" s="50"/>
      <c r="O1884" s="50"/>
      <c r="P1884" s="49"/>
      <c r="Q1884" s="49"/>
      <c r="R1884" s="49"/>
      <c r="S1884" s="49"/>
      <c r="T1884" s="49"/>
      <c r="U1884" s="49"/>
      <c r="V1884" s="49"/>
      <c r="W1884" s="49"/>
      <c r="X1884" s="49"/>
      <c r="Y1884" s="49"/>
      <c r="Z1884" s="49"/>
      <c r="AA1884" s="49"/>
      <c r="AB1884" s="49"/>
      <c r="AC1884" s="49"/>
    </row>
    <row r="1885" spans="1:29">
      <c r="A1885" s="17" t="s">
        <v>219</v>
      </c>
      <c r="B1885" s="14" t="s">
        <v>111</v>
      </c>
      <c r="C1885" s="49"/>
      <c r="D1885" s="49">
        <f>ROUNDUP(6+F1885/2,0)</f>
        <v>8</v>
      </c>
      <c r="E1885" s="49" t="s">
        <v>6</v>
      </c>
      <c r="F1885" s="50">
        <f>LEN(G1885)</f>
        <v>4</v>
      </c>
      <c r="G1885" s="36" t="s">
        <v>236</v>
      </c>
      <c r="H1885" s="50">
        <f>C1884-192*A1884-320</f>
        <v>192</v>
      </c>
      <c r="I1885" s="50">
        <f>B1884</f>
        <v>6464</v>
      </c>
      <c r="J1885" s="50"/>
      <c r="K1885" s="50"/>
      <c r="L1885" s="50"/>
      <c r="M1885" s="50"/>
      <c r="N1885" s="50"/>
      <c r="O1885" s="50"/>
      <c r="P1885" s="49"/>
      <c r="Q1885" s="49"/>
      <c r="R1885" s="49"/>
      <c r="S1885" s="49"/>
      <c r="T1885" s="49"/>
      <c r="U1885" s="49"/>
      <c r="V1885" s="49"/>
      <c r="W1885" s="49"/>
      <c r="X1885" s="49"/>
      <c r="Y1885" s="49"/>
      <c r="Z1885" s="49"/>
      <c r="AA1885" s="49"/>
      <c r="AB1885" s="49"/>
      <c r="AC1885" s="49"/>
    </row>
    <row r="1886" spans="1:29">
      <c r="A1886" s="17">
        <v>1</v>
      </c>
      <c r="B1886" s="14">
        <v>1</v>
      </c>
      <c r="C1886" s="49"/>
      <c r="D1886" s="48">
        <v>4</v>
      </c>
      <c r="E1886" s="48" t="s">
        <v>15</v>
      </c>
      <c r="F1886" s="6">
        <v>2</v>
      </c>
      <c r="G1886" s="50"/>
      <c r="H1886" s="50"/>
      <c r="I1886" s="50"/>
      <c r="J1886" s="50"/>
      <c r="K1886" s="50"/>
      <c r="L1886" s="50"/>
      <c r="M1886" s="50"/>
      <c r="N1886" s="50"/>
      <c r="O1886" s="50"/>
      <c r="P1886" s="49"/>
      <c r="Q1886" s="49"/>
      <c r="R1886" s="49"/>
      <c r="S1886" s="49"/>
      <c r="T1886" s="49"/>
      <c r="U1886" s="49"/>
      <c r="V1886" s="49"/>
      <c r="W1886" s="49"/>
      <c r="X1886" s="49"/>
      <c r="Y1886" s="49"/>
      <c r="Z1886" s="49"/>
      <c r="AA1886" s="49"/>
      <c r="AB1886" s="49"/>
      <c r="AC1886" s="49"/>
    </row>
    <row r="1887" spans="1:29">
      <c r="A1887" s="49"/>
      <c r="B1887" s="49"/>
      <c r="C1887" s="49"/>
      <c r="D1887" s="48">
        <f>ROUNDUP(6+F1887/2,0)</f>
        <v>7</v>
      </c>
      <c r="E1887" s="48" t="s">
        <v>6</v>
      </c>
      <c r="F1887" s="6">
        <f>LEN(G1887)</f>
        <v>1</v>
      </c>
      <c r="G1887" s="41" t="s">
        <v>202</v>
      </c>
      <c r="H1887" s="6">
        <f>C1884-A1884*192-192</f>
        <v>320</v>
      </c>
      <c r="I1887" s="6">
        <f>B1884</f>
        <v>6464</v>
      </c>
      <c r="J1887" s="50"/>
      <c r="K1887" s="50"/>
      <c r="L1887" s="50"/>
      <c r="M1887" s="50"/>
      <c r="N1887" s="50"/>
      <c r="O1887" s="50"/>
      <c r="P1887" s="49"/>
      <c r="Q1887" s="49"/>
      <c r="R1887" s="49"/>
      <c r="S1887" s="49"/>
      <c r="T1887" s="49"/>
      <c r="U1887" s="49"/>
      <c r="V1887" s="49"/>
      <c r="W1887" s="49"/>
      <c r="X1887" s="49"/>
      <c r="Y1887" s="49"/>
      <c r="Z1887" s="49"/>
      <c r="AA1887" s="49"/>
      <c r="AB1887" s="49"/>
      <c r="AC1887" s="49"/>
    </row>
    <row r="1888" spans="1:29">
      <c r="A1888" s="49"/>
      <c r="B1888" s="49"/>
      <c r="C1888" s="49"/>
      <c r="D1888" s="48">
        <f>ROUNDUP(6+F1888/2,0)</f>
        <v>7</v>
      </c>
      <c r="E1888" s="48" t="s">
        <v>6</v>
      </c>
      <c r="F1888" s="6">
        <f>LEN(G1888)</f>
        <v>1</v>
      </c>
      <c r="G1888" s="41" t="s">
        <v>202</v>
      </c>
      <c r="H1888" s="6">
        <f>H1887+384</f>
        <v>704</v>
      </c>
      <c r="I1888" s="6">
        <f>I1887</f>
        <v>6464</v>
      </c>
      <c r="J1888" s="50"/>
      <c r="K1888" s="50"/>
      <c r="L1888" s="50"/>
      <c r="M1888" s="50"/>
      <c r="N1888" s="50"/>
      <c r="O1888" s="50"/>
      <c r="P1888" s="49"/>
      <c r="Q1888" s="49"/>
      <c r="R1888" s="49"/>
      <c r="S1888" s="49"/>
      <c r="T1888" s="49"/>
      <c r="U1888" s="49"/>
      <c r="V1888" s="49"/>
      <c r="W1888" s="49"/>
      <c r="X1888" s="49"/>
      <c r="Y1888" s="49"/>
      <c r="Z1888" s="49"/>
      <c r="AA1888" s="49"/>
      <c r="AB1888" s="49"/>
      <c r="AC1888" s="49"/>
    </row>
    <row r="1889" spans="1:29">
      <c r="A1889" s="49"/>
      <c r="B1889" s="49"/>
      <c r="C1889" s="49"/>
      <c r="D1889" s="48">
        <f>ROUNDUP(6+F1889/2,0)</f>
        <v>7</v>
      </c>
      <c r="E1889" s="48" t="s">
        <v>6</v>
      </c>
      <c r="F1889" s="6">
        <f>LEN(G1889)</f>
        <v>1</v>
      </c>
      <c r="G1889" s="41" t="s">
        <v>202</v>
      </c>
      <c r="H1889" s="6">
        <f>H1888+384</f>
        <v>1088</v>
      </c>
      <c r="I1889" s="6">
        <f>I1888</f>
        <v>6464</v>
      </c>
      <c r="J1889" s="50"/>
      <c r="K1889" s="50"/>
      <c r="L1889" s="50"/>
      <c r="M1889" s="50"/>
      <c r="N1889" s="50"/>
      <c r="O1889" s="50"/>
      <c r="P1889" s="49"/>
      <c r="Q1889" s="49"/>
      <c r="R1889" s="49"/>
      <c r="S1889" s="49"/>
      <c r="T1889" s="49"/>
      <c r="U1889" s="49"/>
      <c r="V1889" s="49"/>
      <c r="W1889" s="49"/>
      <c r="X1889" s="49"/>
      <c r="Y1889" s="49"/>
      <c r="Z1889" s="49"/>
      <c r="AA1889" s="49"/>
      <c r="AB1889" s="49"/>
      <c r="AC1889" s="49"/>
    </row>
    <row r="1890" spans="1:29">
      <c r="A1890" s="49"/>
      <c r="B1890" s="49"/>
      <c r="C1890" s="49"/>
      <c r="D1890" s="48">
        <f>ROUNDUP(6+F1890/2,0)</f>
        <v>7</v>
      </c>
      <c r="E1890" s="48" t="s">
        <v>6</v>
      </c>
      <c r="F1890" s="6">
        <f>LEN(G1890)</f>
        <v>1</v>
      </c>
      <c r="G1890" s="41" t="s">
        <v>202</v>
      </c>
      <c r="H1890" s="6">
        <f>H1889+384</f>
        <v>1472</v>
      </c>
      <c r="I1890" s="6">
        <f>I1889</f>
        <v>6464</v>
      </c>
      <c r="J1890" s="50"/>
      <c r="K1890" s="50"/>
      <c r="L1890" s="50"/>
      <c r="M1890" s="50"/>
      <c r="N1890" s="50"/>
      <c r="O1890" s="50"/>
      <c r="P1890" s="49"/>
      <c r="Q1890" s="49"/>
      <c r="R1890" s="49"/>
      <c r="S1890" s="49"/>
      <c r="T1890" s="49"/>
      <c r="U1890" s="49"/>
      <c r="V1890" s="49"/>
      <c r="W1890" s="49"/>
      <c r="X1890" s="49"/>
      <c r="Y1890" s="49"/>
      <c r="Z1890" s="49"/>
      <c r="AA1890" s="49"/>
      <c r="AB1890" s="49"/>
      <c r="AC1890" s="49"/>
    </row>
    <row r="1891" spans="1:29">
      <c r="A1891" s="49" t="s">
        <v>223</v>
      </c>
      <c r="B1891" s="49">
        <v>1.5</v>
      </c>
      <c r="C1891" s="49"/>
      <c r="D1891" s="48">
        <v>4</v>
      </c>
      <c r="E1891" s="48" t="s">
        <v>15</v>
      </c>
      <c r="F1891" s="6">
        <v>0</v>
      </c>
      <c r="G1891" s="50"/>
      <c r="H1891" s="50"/>
      <c r="I1891" s="50"/>
      <c r="J1891" s="50"/>
      <c r="K1891" s="50"/>
      <c r="L1891" s="50"/>
      <c r="M1891" s="50"/>
      <c r="N1891" s="50"/>
      <c r="O1891" s="50"/>
      <c r="P1891" s="49"/>
      <c r="Q1891" s="49"/>
      <c r="R1891" s="49"/>
      <c r="S1891" s="49"/>
      <c r="T1891" s="49"/>
      <c r="U1891" s="49"/>
      <c r="V1891" s="49"/>
      <c r="W1891" s="49"/>
      <c r="X1891" s="49"/>
      <c r="Y1891" s="49"/>
      <c r="Z1891" s="49"/>
      <c r="AA1891" s="49"/>
      <c r="AB1891" s="49"/>
      <c r="AC1891" s="49"/>
    </row>
    <row r="1892" spans="1:29">
      <c r="A1892" s="49">
        <f>B1884+784-384*B1886</f>
        <v>6864</v>
      </c>
      <c r="B1892" s="49">
        <f>C1884+256*B1891</f>
        <v>1664</v>
      </c>
      <c r="C1892" s="49">
        <f>B1892+1024*B1891</f>
        <v>3200</v>
      </c>
      <c r="D1892" s="49">
        <v>18</v>
      </c>
      <c r="E1892" s="49" t="s">
        <v>111</v>
      </c>
      <c r="F1892" s="50">
        <v>100</v>
      </c>
      <c r="G1892" s="50">
        <f>A1892+128</f>
        <v>6992</v>
      </c>
      <c r="H1892" s="50">
        <f>B1892</f>
        <v>1664</v>
      </c>
      <c r="I1892" s="50">
        <f>G1892+512+B1886*384</f>
        <v>7888</v>
      </c>
      <c r="J1892" s="50">
        <f>C1892</f>
        <v>3200</v>
      </c>
      <c r="K1892" s="50"/>
      <c r="L1892" s="50"/>
      <c r="M1892" s="50"/>
      <c r="N1892" s="50"/>
      <c r="O1892" s="50"/>
      <c r="P1892" s="49"/>
      <c r="Q1892" s="49"/>
      <c r="R1892" s="49"/>
      <c r="S1892" s="49"/>
      <c r="T1892" s="49"/>
      <c r="U1892" s="49"/>
      <c r="V1892" s="49"/>
      <c r="W1892" s="49"/>
      <c r="X1892" s="49"/>
      <c r="Y1892" s="49"/>
      <c r="Z1892" s="49"/>
      <c r="AA1892" s="49"/>
      <c r="AB1892" s="49"/>
      <c r="AC1892" s="49"/>
    </row>
    <row r="1893" spans="1:29">
      <c r="A1893" s="49"/>
      <c r="B1893" s="49"/>
      <c r="C1893" s="49"/>
      <c r="D1893" s="49">
        <v>7</v>
      </c>
      <c r="E1893" s="49" t="s">
        <v>5</v>
      </c>
      <c r="F1893" s="50">
        <f>C1884</f>
        <v>1280</v>
      </c>
      <c r="G1893" s="50">
        <f>B1884</f>
        <v>6464</v>
      </c>
      <c r="H1893" s="50">
        <f>F1893-384</f>
        <v>896</v>
      </c>
      <c r="I1893" s="50">
        <f>G1893+384</f>
        <v>6848</v>
      </c>
      <c r="J1893" s="50"/>
      <c r="K1893" s="50"/>
      <c r="L1893" s="50"/>
      <c r="M1893" s="50"/>
      <c r="N1893" s="50"/>
      <c r="O1893" s="50"/>
      <c r="P1893" s="49"/>
      <c r="Q1893" s="49"/>
      <c r="R1893" s="49"/>
      <c r="S1893" s="49"/>
      <c r="T1893" s="49"/>
      <c r="U1893" s="49"/>
      <c r="V1893" s="49"/>
      <c r="W1893" s="49"/>
      <c r="X1893" s="49"/>
      <c r="Y1893" s="49"/>
      <c r="Z1893" s="49"/>
      <c r="AA1893" s="49"/>
      <c r="AB1893" s="49"/>
      <c r="AC1893" s="49"/>
    </row>
    <row r="1894" spans="1:29">
      <c r="A1894" s="49"/>
      <c r="B1894" s="49"/>
      <c r="C1894" s="49"/>
      <c r="D1894" s="49">
        <v>7</v>
      </c>
      <c r="E1894" s="49" t="s">
        <v>5</v>
      </c>
      <c r="F1894" s="50">
        <f>C1884+768</f>
        <v>2048</v>
      </c>
      <c r="G1894" s="50">
        <f>B1884</f>
        <v>6464</v>
      </c>
      <c r="H1894" s="50">
        <f>F1894-384</f>
        <v>1664</v>
      </c>
      <c r="I1894" s="50">
        <f>G1894+384</f>
        <v>6848</v>
      </c>
      <c r="J1894" s="50"/>
      <c r="K1894" s="50"/>
      <c r="L1894" s="50"/>
      <c r="M1894" s="50"/>
      <c r="N1894" s="50"/>
      <c r="O1894" s="50"/>
      <c r="P1894" s="49"/>
      <c r="Q1894" s="49"/>
      <c r="R1894" s="49"/>
      <c r="S1894" s="49"/>
      <c r="T1894" s="49"/>
      <c r="U1894" s="49"/>
      <c r="V1894" s="49"/>
      <c r="W1894" s="49"/>
      <c r="X1894" s="49"/>
      <c r="Y1894" s="49"/>
      <c r="Z1894" s="49"/>
      <c r="AA1894" s="49"/>
      <c r="AB1894" s="49"/>
      <c r="AC1894" s="49"/>
    </row>
    <row r="1895" spans="1:29">
      <c r="A1895" s="17" t="s">
        <v>42</v>
      </c>
      <c r="B1895" s="17" t="s">
        <v>8</v>
      </c>
      <c r="C1895" s="49" t="s">
        <v>7</v>
      </c>
      <c r="D1895" s="49">
        <v>7</v>
      </c>
      <c r="E1895" s="49" t="s">
        <v>5</v>
      </c>
      <c r="F1895" s="50">
        <f>C1896+A1896*192</f>
        <v>5696</v>
      </c>
      <c r="G1895" s="50">
        <f>B1896</f>
        <v>3264</v>
      </c>
      <c r="H1895" s="50">
        <f>C1896-192*A1896</f>
        <v>4544</v>
      </c>
      <c r="I1895" s="50">
        <f>G1895+384*A1898</f>
        <v>4032</v>
      </c>
      <c r="J1895" s="50"/>
      <c r="K1895" s="50"/>
      <c r="L1895" s="50"/>
      <c r="M1895" s="50"/>
      <c r="N1895" s="50"/>
      <c r="O1895" s="50"/>
      <c r="P1895" s="49"/>
      <c r="Q1895" s="49"/>
      <c r="R1895" s="49"/>
      <c r="S1895" s="49"/>
      <c r="T1895" s="49"/>
      <c r="U1895" s="49"/>
      <c r="V1895" s="49"/>
      <c r="W1895" s="49"/>
      <c r="X1895" s="49"/>
      <c r="Y1895" s="49"/>
      <c r="Z1895" s="49"/>
      <c r="AA1895" s="49"/>
      <c r="AB1895" s="49"/>
      <c r="AC1895" s="49"/>
    </row>
    <row r="1896" spans="1:29">
      <c r="A1896" s="17">
        <v>3</v>
      </c>
      <c r="B1896" s="20">
        <f>B1825+3200</f>
        <v>3264</v>
      </c>
      <c r="C1896" s="7">
        <f>C1825+1536</f>
        <v>5120</v>
      </c>
      <c r="D1896" s="49">
        <f>ROUNDUP(6+F1896/2,0)</f>
        <v>8</v>
      </c>
      <c r="E1896" s="49" t="s">
        <v>6</v>
      </c>
      <c r="F1896" s="50">
        <f>LEN(G1896)</f>
        <v>3</v>
      </c>
      <c r="G1896" s="50" t="str">
        <f>"N="&amp;A1896</f>
        <v>N=3</v>
      </c>
      <c r="H1896" s="50">
        <f>C1896+192*A1896</f>
        <v>5696</v>
      </c>
      <c r="I1896" s="50">
        <f>B1896</f>
        <v>3264</v>
      </c>
      <c r="J1896" s="50"/>
      <c r="K1896" s="50"/>
      <c r="L1896" s="50"/>
      <c r="M1896" s="50"/>
      <c r="N1896" s="50"/>
      <c r="O1896" s="50"/>
      <c r="P1896" s="49"/>
      <c r="Q1896" s="49"/>
      <c r="R1896" s="49"/>
      <c r="S1896" s="49"/>
      <c r="T1896" s="49"/>
      <c r="U1896" s="49"/>
      <c r="V1896" s="49"/>
      <c r="W1896" s="49"/>
      <c r="X1896" s="49"/>
      <c r="Y1896" s="49"/>
      <c r="Z1896" s="49"/>
      <c r="AA1896" s="49"/>
      <c r="AB1896" s="49"/>
      <c r="AC1896" s="49"/>
    </row>
    <row r="1897" spans="1:29">
      <c r="A1897" s="17" t="s">
        <v>219</v>
      </c>
      <c r="B1897" s="17" t="s">
        <v>111</v>
      </c>
      <c r="C1897" s="49"/>
      <c r="D1897" s="49">
        <f>ROUNDUP(6+F1897/2,0)</f>
        <v>9</v>
      </c>
      <c r="E1897" s="49" t="s">
        <v>6</v>
      </c>
      <c r="F1897" s="50">
        <f>LEN(G1897)</f>
        <v>6</v>
      </c>
      <c r="G1897" s="50" t="s">
        <v>220</v>
      </c>
      <c r="H1897" s="50">
        <f>C1896-192*A1896-320</f>
        <v>4224</v>
      </c>
      <c r="I1897" s="50">
        <f>B1896</f>
        <v>3264</v>
      </c>
      <c r="J1897" s="50"/>
      <c r="K1897" s="50"/>
      <c r="L1897" s="50"/>
      <c r="M1897" s="50"/>
      <c r="N1897" s="50"/>
      <c r="O1897" s="50"/>
      <c r="P1897" s="49"/>
      <c r="Q1897" s="49"/>
      <c r="R1897" s="49"/>
      <c r="S1897" s="49"/>
      <c r="T1897" s="49"/>
      <c r="U1897" s="49"/>
      <c r="V1897" s="49"/>
      <c r="W1897" s="49"/>
      <c r="X1897" s="49"/>
      <c r="Y1897" s="49"/>
      <c r="Z1897" s="49"/>
      <c r="AA1897" s="49"/>
      <c r="AB1897" s="49"/>
      <c r="AC1897" s="49"/>
    </row>
    <row r="1898" spans="1:29">
      <c r="A1898" s="49">
        <v>2</v>
      </c>
      <c r="B1898" s="49">
        <v>0</v>
      </c>
      <c r="C1898" s="49"/>
      <c r="D1898" s="48">
        <v>4</v>
      </c>
      <c r="E1898" s="48" t="s">
        <v>15</v>
      </c>
      <c r="F1898" s="6">
        <v>2</v>
      </c>
      <c r="G1898" s="50"/>
      <c r="H1898" s="50"/>
      <c r="I1898" s="50"/>
      <c r="J1898" s="50"/>
      <c r="K1898" s="50"/>
      <c r="L1898" s="50"/>
      <c r="M1898" s="50"/>
      <c r="N1898" s="50"/>
      <c r="O1898" s="50"/>
      <c r="P1898" s="49"/>
      <c r="Q1898" s="49"/>
      <c r="R1898" s="49"/>
      <c r="S1898" s="49"/>
      <c r="T1898" s="49"/>
      <c r="U1898" s="49"/>
      <c r="V1898" s="49"/>
      <c r="W1898" s="49"/>
      <c r="X1898" s="49"/>
      <c r="Y1898" s="49"/>
      <c r="Z1898" s="49"/>
      <c r="AA1898" s="49"/>
      <c r="AB1898" s="49"/>
      <c r="AC1898" s="49"/>
    </row>
    <row r="1899" spans="1:29">
      <c r="A1899" s="49"/>
      <c r="B1899" s="49"/>
      <c r="C1899" s="49"/>
      <c r="D1899" s="48">
        <f>ROUNDUP(6+F1899/2,0)</f>
        <v>7</v>
      </c>
      <c r="E1899" s="48" t="s">
        <v>6</v>
      </c>
      <c r="F1899" s="6">
        <f>LEN(G1899)</f>
        <v>2</v>
      </c>
      <c r="G1899" s="41" t="s">
        <v>201</v>
      </c>
      <c r="H1899" s="6">
        <f>C1896-A1896*192-192</f>
        <v>4352</v>
      </c>
      <c r="I1899" s="6">
        <f>B1896</f>
        <v>3264</v>
      </c>
      <c r="J1899" s="50"/>
      <c r="K1899" s="50"/>
      <c r="L1899" s="50"/>
      <c r="M1899" s="50"/>
      <c r="N1899" s="50"/>
      <c r="O1899" s="50"/>
      <c r="P1899" s="49"/>
      <c r="Q1899" s="49"/>
      <c r="R1899" s="49"/>
      <c r="S1899" s="49"/>
      <c r="T1899" s="49"/>
      <c r="U1899" s="49"/>
      <c r="V1899" s="49"/>
      <c r="W1899" s="49"/>
      <c r="X1899" s="49"/>
      <c r="Y1899" s="49"/>
      <c r="Z1899" s="49"/>
      <c r="AA1899" s="49"/>
      <c r="AB1899" s="49"/>
      <c r="AC1899" s="49"/>
    </row>
    <row r="1900" spans="1:29">
      <c r="A1900" s="49"/>
      <c r="B1900" s="49"/>
      <c r="C1900" s="49"/>
      <c r="D1900" s="48">
        <f>ROUNDUP(6+F1900/2,0)</f>
        <v>7</v>
      </c>
      <c r="E1900" s="48" t="s">
        <v>6</v>
      </c>
      <c r="F1900" s="6">
        <f>LEN(G1900)</f>
        <v>2</v>
      </c>
      <c r="G1900" s="41" t="s">
        <v>201</v>
      </c>
      <c r="H1900" s="6">
        <f>H1899+384</f>
        <v>4736</v>
      </c>
      <c r="I1900" s="6">
        <f>I1899</f>
        <v>3264</v>
      </c>
      <c r="J1900" s="50"/>
      <c r="K1900" s="50"/>
      <c r="L1900" s="50"/>
      <c r="M1900" s="50"/>
      <c r="N1900" s="50"/>
      <c r="O1900" s="50"/>
      <c r="P1900" s="49"/>
      <c r="Q1900" s="49"/>
      <c r="R1900" s="49"/>
      <c r="S1900" s="49"/>
      <c r="T1900" s="49"/>
      <c r="U1900" s="49"/>
      <c r="V1900" s="49"/>
      <c r="W1900" s="49"/>
      <c r="X1900" s="49"/>
      <c r="Y1900" s="49"/>
      <c r="Z1900" s="49"/>
      <c r="AA1900" s="49"/>
      <c r="AB1900" s="49"/>
      <c r="AC1900" s="49"/>
    </row>
    <row r="1901" spans="1:29">
      <c r="A1901" s="49"/>
      <c r="B1901" s="49"/>
      <c r="C1901" s="49"/>
      <c r="D1901" s="48">
        <f>ROUNDUP(6+F1901/2,0)</f>
        <v>7</v>
      </c>
      <c r="E1901" s="48" t="s">
        <v>6</v>
      </c>
      <c r="F1901" s="6">
        <f>LEN(G1901)</f>
        <v>2</v>
      </c>
      <c r="G1901" s="41" t="s">
        <v>201</v>
      </c>
      <c r="H1901" s="6">
        <f>H1900+384</f>
        <v>5120</v>
      </c>
      <c r="I1901" s="6">
        <f>I1900</f>
        <v>3264</v>
      </c>
      <c r="J1901" s="50"/>
      <c r="K1901" s="50"/>
      <c r="L1901" s="50"/>
      <c r="M1901" s="50"/>
      <c r="N1901" s="50"/>
      <c r="O1901" s="50"/>
      <c r="P1901" s="49"/>
      <c r="Q1901" s="49"/>
      <c r="R1901" s="49"/>
      <c r="S1901" s="49"/>
      <c r="T1901" s="49"/>
      <c r="U1901" s="49"/>
      <c r="V1901" s="49"/>
      <c r="W1901" s="49"/>
      <c r="X1901" s="49"/>
      <c r="Y1901" s="49"/>
      <c r="Z1901" s="49"/>
      <c r="AA1901" s="49"/>
      <c r="AB1901" s="49"/>
      <c r="AC1901" s="49"/>
    </row>
    <row r="1902" spans="1:29">
      <c r="A1902" s="49" t="s">
        <v>223</v>
      </c>
      <c r="B1902" s="49">
        <v>0</v>
      </c>
      <c r="C1902" s="49"/>
      <c r="D1902" s="48">
        <v>4</v>
      </c>
      <c r="E1902" s="48" t="s">
        <v>15</v>
      </c>
      <c r="F1902" s="6">
        <v>0</v>
      </c>
      <c r="G1902" s="50"/>
      <c r="H1902" s="50"/>
      <c r="I1902" s="50"/>
      <c r="J1902" s="50"/>
      <c r="K1902" s="50"/>
      <c r="L1902" s="50"/>
      <c r="M1902" s="50"/>
      <c r="N1902" s="50"/>
      <c r="O1902" s="50"/>
      <c r="P1902" s="49"/>
      <c r="Q1902" s="49"/>
      <c r="R1902" s="49"/>
      <c r="S1902" s="49"/>
      <c r="T1902" s="49"/>
      <c r="U1902" s="49"/>
      <c r="V1902" s="49"/>
      <c r="W1902" s="49"/>
      <c r="X1902" s="49"/>
      <c r="Y1902" s="49"/>
      <c r="Z1902" s="49"/>
      <c r="AA1902" s="49"/>
      <c r="AB1902" s="49"/>
      <c r="AC1902" s="49"/>
    </row>
    <row r="1903" spans="1:29">
      <c r="A1903" s="49">
        <f>B1896+784-384*B1898</f>
        <v>4048</v>
      </c>
      <c r="B1903" s="49">
        <f>C1896+256*B1902</f>
        <v>5120</v>
      </c>
      <c r="C1903" s="49">
        <f>B1903+1024*B1902</f>
        <v>5120</v>
      </c>
      <c r="D1903" s="49">
        <v>18</v>
      </c>
      <c r="E1903" s="49" t="s">
        <v>111</v>
      </c>
      <c r="F1903" s="50">
        <v>100</v>
      </c>
      <c r="G1903" s="50">
        <f>A1903+128</f>
        <v>4176</v>
      </c>
      <c r="H1903" s="50">
        <f>B1903</f>
        <v>5120</v>
      </c>
      <c r="I1903" s="50">
        <f>G1903+512+B1898*384</f>
        <v>4688</v>
      </c>
      <c r="J1903" s="50">
        <f>C1903</f>
        <v>5120</v>
      </c>
      <c r="K1903" s="50"/>
      <c r="L1903" s="50"/>
      <c r="M1903" s="50"/>
      <c r="N1903" s="50"/>
      <c r="O1903" s="50"/>
      <c r="P1903" s="49"/>
      <c r="Q1903" s="49"/>
      <c r="R1903" s="49"/>
      <c r="S1903" s="49"/>
      <c r="T1903" s="49"/>
      <c r="U1903" s="49"/>
      <c r="V1903" s="49"/>
      <c r="W1903" s="49"/>
      <c r="X1903" s="49"/>
      <c r="Y1903" s="49"/>
      <c r="Z1903" s="49"/>
      <c r="AA1903" s="49"/>
      <c r="AB1903" s="49"/>
      <c r="AC1903" s="49"/>
    </row>
    <row r="1904" spans="1:29">
      <c r="A1904" s="49"/>
      <c r="B1904" s="49"/>
      <c r="C1904" s="49"/>
      <c r="D1904" s="49">
        <v>7</v>
      </c>
      <c r="E1904" s="49" t="s">
        <v>5</v>
      </c>
      <c r="F1904" s="50">
        <f>F1895-384</f>
        <v>5312</v>
      </c>
      <c r="G1904" s="50">
        <f>G1895</f>
        <v>3264</v>
      </c>
      <c r="H1904" s="50">
        <f>H1895+384</f>
        <v>4928</v>
      </c>
      <c r="I1904" s="50">
        <f>I1895</f>
        <v>4032</v>
      </c>
      <c r="J1904" s="50"/>
      <c r="K1904" s="50"/>
      <c r="L1904" s="50"/>
      <c r="M1904" s="50"/>
      <c r="N1904" s="50"/>
      <c r="O1904" s="50"/>
      <c r="P1904" s="49"/>
      <c r="Q1904" s="49"/>
      <c r="R1904" s="49"/>
      <c r="S1904" s="49"/>
      <c r="T1904" s="49"/>
      <c r="U1904" s="49"/>
      <c r="V1904" s="49"/>
      <c r="W1904" s="49"/>
      <c r="X1904" s="49"/>
      <c r="Y1904" s="49"/>
      <c r="Z1904" s="49"/>
      <c r="AA1904" s="49"/>
      <c r="AB1904" s="49"/>
      <c r="AC1904" s="49"/>
    </row>
    <row r="1905" spans="1:29">
      <c r="A1905" s="49"/>
      <c r="B1905" s="49"/>
      <c r="C1905" s="49"/>
      <c r="D1905" s="49">
        <f>F1905*2+4</f>
        <v>8</v>
      </c>
      <c r="E1905" s="49" t="s">
        <v>1</v>
      </c>
      <c r="F1905" s="50">
        <v>2</v>
      </c>
      <c r="G1905" s="50">
        <f>G1895+384</f>
        <v>3648</v>
      </c>
      <c r="H1905" s="50">
        <f>H1895</f>
        <v>4544</v>
      </c>
      <c r="I1905" s="50">
        <f>G1905</f>
        <v>3648</v>
      </c>
      <c r="J1905" s="50">
        <f>F1895</f>
        <v>5696</v>
      </c>
      <c r="K1905" s="50"/>
      <c r="L1905" s="50"/>
      <c r="M1905" s="50"/>
      <c r="N1905" s="50"/>
      <c r="O1905" s="50"/>
      <c r="P1905" s="49"/>
      <c r="Q1905" s="49"/>
      <c r="R1905" s="49"/>
      <c r="S1905" s="49"/>
      <c r="T1905" s="49"/>
      <c r="U1905" s="49"/>
      <c r="V1905" s="49"/>
      <c r="W1905" s="49"/>
      <c r="X1905" s="49"/>
      <c r="Y1905" s="49"/>
      <c r="Z1905" s="49"/>
      <c r="AA1905" s="49"/>
      <c r="AB1905" s="49"/>
      <c r="AC1905" s="49"/>
    </row>
    <row r="1906" spans="1:29">
      <c r="A1906" s="17" t="s">
        <v>42</v>
      </c>
      <c r="B1906" s="18" t="s">
        <v>8</v>
      </c>
      <c r="C1906" s="49" t="s">
        <v>7</v>
      </c>
      <c r="D1906" s="49">
        <v>7</v>
      </c>
      <c r="E1906" s="49" t="s">
        <v>5</v>
      </c>
      <c r="F1906" s="50">
        <f>C1907+A1907*192</f>
        <v>5696</v>
      </c>
      <c r="G1906" s="50">
        <f>B1907</f>
        <v>4864</v>
      </c>
      <c r="H1906" s="50">
        <f>C1907-192*A1907</f>
        <v>4544</v>
      </c>
      <c r="I1906" s="50">
        <f>G1906+384*A1909</f>
        <v>5248</v>
      </c>
      <c r="J1906" s="50"/>
      <c r="K1906" s="50"/>
      <c r="L1906" s="50"/>
      <c r="M1906" s="50"/>
      <c r="N1906" s="50"/>
      <c r="O1906" s="50"/>
      <c r="P1906" s="49"/>
      <c r="Q1906" s="49"/>
      <c r="R1906" s="49"/>
      <c r="S1906" s="49"/>
      <c r="T1906" s="49"/>
      <c r="U1906" s="49"/>
      <c r="V1906" s="49"/>
      <c r="W1906" s="49"/>
      <c r="X1906" s="49"/>
      <c r="Y1906" s="49"/>
      <c r="Z1906" s="49"/>
      <c r="AA1906" s="49"/>
      <c r="AB1906" s="49"/>
      <c r="AC1906" s="49"/>
    </row>
    <row r="1907" spans="1:29">
      <c r="A1907" s="17">
        <v>3</v>
      </c>
      <c r="B1907" s="20">
        <f>B1896+6.25*256</f>
        <v>4864</v>
      </c>
      <c r="C1907" s="7">
        <f>C1896</f>
        <v>5120</v>
      </c>
      <c r="D1907" s="49">
        <f>ROUNDUP(6+F1907/2,0)</f>
        <v>8</v>
      </c>
      <c r="E1907" s="49" t="s">
        <v>6</v>
      </c>
      <c r="F1907" s="50">
        <f>LEN(G1907)</f>
        <v>3</v>
      </c>
      <c r="G1907" s="50" t="str">
        <f>"N="&amp;A1907</f>
        <v>N=3</v>
      </c>
      <c r="H1907" s="50">
        <f>C1907+192*A1907</f>
        <v>5696</v>
      </c>
      <c r="I1907" s="50">
        <f>B1907</f>
        <v>4864</v>
      </c>
      <c r="J1907" s="50"/>
      <c r="K1907" s="50"/>
      <c r="L1907" s="50"/>
      <c r="M1907" s="50"/>
      <c r="N1907" s="50"/>
      <c r="O1907" s="50"/>
      <c r="P1907" s="49"/>
      <c r="Q1907" s="49"/>
      <c r="R1907" s="49"/>
      <c r="S1907" s="49"/>
      <c r="T1907" s="49"/>
      <c r="U1907" s="49"/>
      <c r="V1907" s="49"/>
      <c r="W1907" s="49"/>
      <c r="X1907" s="49"/>
      <c r="Y1907" s="49"/>
      <c r="Z1907" s="49"/>
      <c r="AA1907" s="49"/>
      <c r="AB1907" s="49"/>
      <c r="AC1907" s="49"/>
    </row>
    <row r="1908" spans="1:29">
      <c r="A1908" s="17" t="s">
        <v>219</v>
      </c>
      <c r="B1908" s="17" t="s">
        <v>111</v>
      </c>
      <c r="C1908" s="49"/>
      <c r="D1908" s="49">
        <f>ROUNDUP(6+F1908/2,0)</f>
        <v>9</v>
      </c>
      <c r="E1908" s="49" t="s">
        <v>6</v>
      </c>
      <c r="F1908" s="50">
        <f>LEN(G1908)</f>
        <v>6</v>
      </c>
      <c r="G1908" s="50" t="s">
        <v>224</v>
      </c>
      <c r="H1908" s="50">
        <f>C1907-192*A1907-320</f>
        <v>4224</v>
      </c>
      <c r="I1908" s="50">
        <f>B1907</f>
        <v>4864</v>
      </c>
      <c r="J1908" s="50"/>
      <c r="K1908" s="50"/>
      <c r="L1908" s="50"/>
      <c r="M1908" s="50"/>
      <c r="N1908" s="50"/>
      <c r="O1908" s="50"/>
      <c r="P1908" s="49"/>
      <c r="Q1908" s="49"/>
      <c r="R1908" s="49"/>
      <c r="S1908" s="49"/>
      <c r="T1908" s="49"/>
      <c r="U1908" s="49"/>
      <c r="V1908" s="49"/>
      <c r="W1908" s="49"/>
      <c r="X1908" s="49"/>
      <c r="Y1908" s="49"/>
      <c r="Z1908" s="49"/>
      <c r="AA1908" s="49"/>
      <c r="AB1908" s="49"/>
      <c r="AC1908" s="49"/>
    </row>
    <row r="1909" spans="1:29">
      <c r="A1909" s="49">
        <v>1</v>
      </c>
      <c r="B1909" s="49">
        <v>0</v>
      </c>
      <c r="C1909" s="49"/>
      <c r="D1909" s="48">
        <v>4</v>
      </c>
      <c r="E1909" s="48" t="s">
        <v>15</v>
      </c>
      <c r="F1909" s="6">
        <v>2</v>
      </c>
      <c r="G1909" s="50"/>
      <c r="H1909" s="50"/>
      <c r="I1909" s="50"/>
      <c r="J1909" s="50"/>
      <c r="K1909" s="50"/>
      <c r="L1909" s="50"/>
      <c r="M1909" s="50"/>
      <c r="N1909" s="50"/>
      <c r="O1909" s="50"/>
      <c r="P1909" s="49"/>
      <c r="Q1909" s="49"/>
      <c r="R1909" s="49"/>
      <c r="S1909" s="49"/>
      <c r="T1909" s="49"/>
      <c r="U1909" s="49"/>
      <c r="V1909" s="49"/>
      <c r="W1909" s="49"/>
      <c r="X1909" s="49"/>
      <c r="Y1909" s="49"/>
      <c r="Z1909" s="49"/>
      <c r="AA1909" s="49"/>
      <c r="AB1909" s="49"/>
      <c r="AC1909" s="49"/>
    </row>
    <row r="1910" spans="1:29">
      <c r="A1910" s="49"/>
      <c r="B1910" s="49"/>
      <c r="C1910" s="49"/>
      <c r="D1910" s="48">
        <f>ROUNDUP(6+F1910/2,0)</f>
        <v>7</v>
      </c>
      <c r="E1910" s="48" t="s">
        <v>6</v>
      </c>
      <c r="F1910" s="6">
        <f>LEN(G1910)</f>
        <v>1</v>
      </c>
      <c r="G1910" s="41" t="s">
        <v>202</v>
      </c>
      <c r="H1910" s="6">
        <f>C1907-A1907*192-192</f>
        <v>4352</v>
      </c>
      <c r="I1910" s="6">
        <f>B1907</f>
        <v>4864</v>
      </c>
      <c r="J1910" s="50"/>
      <c r="K1910" s="50"/>
      <c r="L1910" s="50"/>
      <c r="M1910" s="50"/>
      <c r="N1910" s="50"/>
      <c r="O1910" s="50"/>
      <c r="P1910" s="49"/>
      <c r="Q1910" s="49"/>
      <c r="R1910" s="49"/>
      <c r="S1910" s="49"/>
      <c r="T1910" s="49"/>
      <c r="U1910" s="49"/>
      <c r="V1910" s="49"/>
      <c r="W1910" s="49"/>
      <c r="X1910" s="49"/>
      <c r="Y1910" s="49"/>
      <c r="Z1910" s="49"/>
      <c r="AA1910" s="49"/>
      <c r="AB1910" s="49"/>
      <c r="AC1910" s="49"/>
    </row>
    <row r="1911" spans="1:29">
      <c r="A1911" s="49"/>
      <c r="B1911" s="49"/>
      <c r="C1911" s="49"/>
      <c r="D1911" s="48">
        <f>ROUNDUP(6+F1911/2,0)</f>
        <v>7</v>
      </c>
      <c r="E1911" s="48" t="s">
        <v>6</v>
      </c>
      <c r="F1911" s="6">
        <f>LEN(G1911)</f>
        <v>2</v>
      </c>
      <c r="G1911" s="41" t="s">
        <v>201</v>
      </c>
      <c r="H1911" s="6">
        <f>H1910+384</f>
        <v>4736</v>
      </c>
      <c r="I1911" s="6">
        <f>I1910</f>
        <v>4864</v>
      </c>
      <c r="J1911" s="50"/>
      <c r="K1911" s="50"/>
      <c r="L1911" s="50"/>
      <c r="M1911" s="50"/>
      <c r="N1911" s="50"/>
      <c r="O1911" s="50"/>
      <c r="P1911" s="49"/>
      <c r="Q1911" s="49"/>
      <c r="R1911" s="49"/>
      <c r="S1911" s="49"/>
      <c r="T1911" s="49"/>
      <c r="U1911" s="49"/>
      <c r="V1911" s="49"/>
      <c r="W1911" s="49"/>
      <c r="X1911" s="49"/>
      <c r="Y1911" s="49"/>
      <c r="Z1911" s="49"/>
      <c r="AA1911" s="49"/>
      <c r="AB1911" s="49"/>
      <c r="AC1911" s="49"/>
    </row>
    <row r="1912" spans="1:29">
      <c r="A1912" s="49"/>
      <c r="B1912" s="49"/>
      <c r="C1912" s="49"/>
      <c r="D1912" s="48">
        <f>ROUNDUP(6+F1912/2,0)</f>
        <v>7</v>
      </c>
      <c r="E1912" s="48" t="s">
        <v>6</v>
      </c>
      <c r="F1912" s="6">
        <f>LEN(G1912)</f>
        <v>2</v>
      </c>
      <c r="G1912" s="41" t="s">
        <v>201</v>
      </c>
      <c r="H1912" s="6">
        <f>H1911+384</f>
        <v>5120</v>
      </c>
      <c r="I1912" s="6">
        <f>I1911</f>
        <v>4864</v>
      </c>
      <c r="J1912" s="50"/>
      <c r="K1912" s="50"/>
      <c r="L1912" s="50"/>
      <c r="M1912" s="50"/>
      <c r="N1912" s="50"/>
      <c r="O1912" s="50"/>
      <c r="P1912" s="49"/>
      <c r="Q1912" s="49"/>
      <c r="R1912" s="49"/>
      <c r="S1912" s="49"/>
      <c r="T1912" s="49"/>
      <c r="U1912" s="49"/>
      <c r="V1912" s="49"/>
      <c r="W1912" s="49"/>
      <c r="X1912" s="49"/>
      <c r="Y1912" s="49"/>
      <c r="Z1912" s="49"/>
      <c r="AA1912" s="49"/>
      <c r="AB1912" s="49"/>
      <c r="AC1912" s="49"/>
    </row>
    <row r="1913" spans="1:29">
      <c r="A1913" s="49"/>
      <c r="B1913" s="49"/>
      <c r="C1913" s="49"/>
      <c r="D1913" s="48">
        <v>4</v>
      </c>
      <c r="E1913" s="48" t="s">
        <v>15</v>
      </c>
      <c r="F1913" s="6">
        <v>0</v>
      </c>
      <c r="G1913" s="50"/>
      <c r="H1913" s="50"/>
      <c r="I1913" s="50"/>
      <c r="J1913" s="50"/>
      <c r="K1913" s="50"/>
      <c r="L1913" s="50"/>
      <c r="M1913" s="50"/>
      <c r="N1913" s="50"/>
      <c r="O1913" s="50"/>
      <c r="P1913" s="49"/>
      <c r="Q1913" s="49"/>
      <c r="R1913" s="49"/>
      <c r="S1913" s="49"/>
      <c r="T1913" s="49"/>
      <c r="U1913" s="49"/>
      <c r="V1913" s="49"/>
      <c r="W1913" s="49"/>
      <c r="X1913" s="49"/>
      <c r="Y1913" s="49"/>
      <c r="Z1913" s="49"/>
      <c r="AA1913" s="49"/>
      <c r="AB1913" s="49"/>
      <c r="AC1913" s="49"/>
    </row>
    <row r="1914" spans="1:29">
      <c r="A1914" s="49">
        <f>B1907+784-384*B1909</f>
        <v>5648</v>
      </c>
      <c r="B1914" s="49">
        <f>C1907+256*B1917</f>
        <v>5376</v>
      </c>
      <c r="C1914" s="49">
        <f>B1914+1024*B1917</f>
        <v>6400</v>
      </c>
      <c r="D1914" s="49">
        <v>18</v>
      </c>
      <c r="E1914" s="49" t="s">
        <v>111</v>
      </c>
      <c r="F1914" s="50">
        <v>100</v>
      </c>
      <c r="G1914" s="50">
        <f>A1914+128</f>
        <v>5776</v>
      </c>
      <c r="H1914" s="50">
        <f>B1914</f>
        <v>5376</v>
      </c>
      <c r="I1914" s="50">
        <f>G1914+512+B1909*384</f>
        <v>6288</v>
      </c>
      <c r="J1914" s="50">
        <f>C1914</f>
        <v>6400</v>
      </c>
      <c r="K1914" s="50"/>
      <c r="L1914" s="50"/>
      <c r="M1914" s="50"/>
      <c r="N1914" s="50"/>
      <c r="O1914" s="50"/>
      <c r="P1914" s="49"/>
      <c r="Q1914" s="49"/>
      <c r="R1914" s="49"/>
      <c r="S1914" s="49"/>
      <c r="T1914" s="49"/>
      <c r="U1914" s="49"/>
      <c r="V1914" s="49"/>
      <c r="W1914" s="49"/>
      <c r="X1914" s="49"/>
      <c r="Y1914" s="49"/>
      <c r="Z1914" s="49"/>
      <c r="AA1914" s="49"/>
      <c r="AB1914" s="49"/>
      <c r="AC1914" s="49"/>
    </row>
    <row r="1915" spans="1:29">
      <c r="A1915" s="49">
        <f>A1914</f>
        <v>5648</v>
      </c>
      <c r="B1915" s="49">
        <f>C1907+256*C1917</f>
        <v>4864</v>
      </c>
      <c r="C1915" s="49">
        <f>B1915+1024*C1917</f>
        <v>3840</v>
      </c>
      <c r="D1915" s="49">
        <v>18</v>
      </c>
      <c r="E1915" s="49" t="s">
        <v>111</v>
      </c>
      <c r="F1915" s="50">
        <v>100</v>
      </c>
      <c r="G1915" s="50">
        <f>A1915+128</f>
        <v>5776</v>
      </c>
      <c r="H1915" s="50">
        <f>B1915</f>
        <v>4864</v>
      </c>
      <c r="I1915" s="50">
        <f>G1915+512+B1909*384</f>
        <v>6288</v>
      </c>
      <c r="J1915" s="50">
        <f>C1915</f>
        <v>3840</v>
      </c>
      <c r="K1915" s="50"/>
      <c r="L1915" s="50"/>
      <c r="M1915" s="50"/>
      <c r="N1915" s="50"/>
      <c r="O1915" s="50"/>
      <c r="P1915" s="49"/>
      <c r="Q1915" s="49"/>
      <c r="R1915" s="49"/>
      <c r="S1915" s="49"/>
      <c r="T1915" s="49"/>
      <c r="U1915" s="49"/>
      <c r="V1915" s="49"/>
      <c r="W1915" s="49"/>
      <c r="X1915" s="49"/>
      <c r="Y1915" s="49"/>
      <c r="Z1915" s="49"/>
      <c r="AA1915" s="49"/>
      <c r="AB1915" s="49"/>
      <c r="AC1915" s="49"/>
    </row>
    <row r="1916" spans="1:29">
      <c r="A1916" s="49" t="s">
        <v>8</v>
      </c>
      <c r="B1916" s="49" t="s">
        <v>221</v>
      </c>
      <c r="C1916" s="49" t="s">
        <v>222</v>
      </c>
      <c r="D1916" s="49">
        <f>ROUNDUP(6+F1916/2,0)</f>
        <v>8</v>
      </c>
      <c r="E1916" s="49" t="s">
        <v>6</v>
      </c>
      <c r="F1916" s="50">
        <f>LEN(G1916)</f>
        <v>3</v>
      </c>
      <c r="G1916" s="40" t="s">
        <v>226</v>
      </c>
      <c r="H1916" s="50">
        <f>H1914/2+J1914/2-IF(B1917,128,320)</f>
        <v>5760</v>
      </c>
      <c r="I1916" s="50">
        <f>G1914+128</f>
        <v>5904</v>
      </c>
      <c r="J1916" s="50"/>
      <c r="K1916" s="50"/>
      <c r="L1916" s="50"/>
      <c r="M1916" s="50"/>
      <c r="N1916" s="50"/>
      <c r="O1916" s="50"/>
      <c r="P1916" s="49"/>
      <c r="Q1916" s="49"/>
      <c r="R1916" s="49"/>
      <c r="S1916" s="49"/>
      <c r="T1916" s="49"/>
      <c r="U1916" s="49"/>
      <c r="V1916" s="49"/>
      <c r="W1916" s="49"/>
      <c r="X1916" s="49"/>
      <c r="Y1916" s="49"/>
      <c r="Z1916" s="49"/>
      <c r="AA1916" s="49"/>
      <c r="AB1916" s="49"/>
      <c r="AC1916" s="49"/>
    </row>
    <row r="1917" spans="1:29">
      <c r="A1917" s="49" t="s">
        <v>223</v>
      </c>
      <c r="B1917" s="49">
        <v>1</v>
      </c>
      <c r="C1917" s="49">
        <v>-1</v>
      </c>
      <c r="D1917" s="49">
        <f>ROUNDUP(6+F1917/2,0)</f>
        <v>8</v>
      </c>
      <c r="E1917" s="49" t="s">
        <v>6</v>
      </c>
      <c r="F1917" s="50">
        <f>LEN(G1917)</f>
        <v>3</v>
      </c>
      <c r="G1917" s="40" t="s">
        <v>50</v>
      </c>
      <c r="H1917" s="50">
        <f>H1915/2+J1915/2-IF(C1917,128,320)</f>
        <v>4224</v>
      </c>
      <c r="I1917" s="50">
        <f>G1915+128</f>
        <v>5904</v>
      </c>
      <c r="J1917" s="50"/>
      <c r="K1917" s="50"/>
      <c r="L1917" s="50"/>
      <c r="M1917" s="50"/>
      <c r="N1917" s="50"/>
      <c r="O1917" s="50"/>
      <c r="P1917" s="49"/>
      <c r="Q1917" s="49"/>
      <c r="R1917" s="49"/>
      <c r="S1917" s="49"/>
      <c r="T1917" s="49"/>
      <c r="U1917" s="49"/>
      <c r="V1917" s="49"/>
      <c r="W1917" s="49"/>
      <c r="X1917" s="49"/>
      <c r="Y1917" s="49"/>
      <c r="Z1917" s="49"/>
      <c r="AA1917" s="49"/>
      <c r="AB1917" s="49"/>
      <c r="AC1917" s="49"/>
    </row>
    <row r="1918" spans="1:29">
      <c r="A1918" s="49"/>
      <c r="B1918" s="49"/>
      <c r="C1918" s="49"/>
      <c r="D1918" s="49">
        <v>7</v>
      </c>
      <c r="E1918" s="49" t="s">
        <v>5</v>
      </c>
      <c r="F1918" s="50">
        <f>C1907+384*1.5</f>
        <v>5696</v>
      </c>
      <c r="G1918" s="50">
        <f>B1907</f>
        <v>4864</v>
      </c>
      <c r="H1918" s="50">
        <f>C1907-192</f>
        <v>4928</v>
      </c>
      <c r="I1918" s="50">
        <f>G1918+768</f>
        <v>5632</v>
      </c>
      <c r="J1918" s="50"/>
      <c r="K1918" s="50"/>
      <c r="L1918" s="50"/>
      <c r="M1918" s="50"/>
      <c r="N1918" s="50"/>
      <c r="O1918" s="50"/>
      <c r="P1918" s="49"/>
      <c r="Q1918" s="49"/>
      <c r="R1918" s="49"/>
      <c r="S1918" s="49"/>
      <c r="T1918" s="49"/>
      <c r="U1918" s="49"/>
      <c r="V1918" s="49"/>
      <c r="W1918" s="49"/>
      <c r="X1918" s="49"/>
      <c r="Y1918" s="49"/>
      <c r="Z1918" s="49"/>
      <c r="AA1918" s="49"/>
      <c r="AB1918" s="49"/>
      <c r="AC1918" s="49"/>
    </row>
    <row r="1919" spans="1:29">
      <c r="A1919" s="49"/>
      <c r="B1919" s="49"/>
      <c r="C1919" s="49"/>
      <c r="D1919" s="49">
        <f>F1919*2+4</f>
        <v>8</v>
      </c>
      <c r="E1919" s="49" t="s">
        <v>1</v>
      </c>
      <c r="F1919" s="50">
        <v>2</v>
      </c>
      <c r="G1919" s="50">
        <f>B1907</f>
        <v>4864</v>
      </c>
      <c r="H1919" s="50">
        <f>C1907+192</f>
        <v>5312</v>
      </c>
      <c r="I1919" s="50">
        <f>G1919+768</f>
        <v>5632</v>
      </c>
      <c r="J1919" s="50">
        <f>H1919</f>
        <v>5312</v>
      </c>
      <c r="K1919" s="50"/>
      <c r="L1919" s="50"/>
      <c r="M1919" s="50"/>
      <c r="N1919" s="50"/>
      <c r="O1919" s="50"/>
      <c r="P1919" s="49"/>
      <c r="Q1919" s="49"/>
      <c r="R1919" s="49"/>
      <c r="S1919" s="49"/>
      <c r="T1919" s="49"/>
      <c r="U1919" s="49"/>
      <c r="V1919" s="49"/>
      <c r="W1919" s="49"/>
      <c r="X1919" s="49"/>
      <c r="Y1919" s="49"/>
      <c r="Z1919" s="49"/>
      <c r="AA1919" s="49"/>
      <c r="AB1919" s="49"/>
      <c r="AC1919" s="49"/>
    </row>
    <row r="1920" spans="1:29">
      <c r="A1920" s="17" t="s">
        <v>42</v>
      </c>
      <c r="B1920" s="19" t="s">
        <v>8</v>
      </c>
      <c r="C1920" s="49" t="s">
        <v>7</v>
      </c>
      <c r="D1920" s="49">
        <v>7</v>
      </c>
      <c r="E1920" s="49" t="s">
        <v>5</v>
      </c>
      <c r="F1920" s="50">
        <f>C1921+A1921*192</f>
        <v>4160</v>
      </c>
      <c r="G1920" s="50">
        <f>B1921</f>
        <v>6464</v>
      </c>
      <c r="H1920" s="50">
        <f>C1921-192*A1921</f>
        <v>3008</v>
      </c>
      <c r="I1920" s="50">
        <f>G1920+384*A1923</f>
        <v>6848</v>
      </c>
      <c r="J1920" s="50"/>
      <c r="K1920" s="50"/>
      <c r="L1920" s="50"/>
      <c r="M1920" s="50"/>
      <c r="N1920" s="50"/>
      <c r="O1920" s="50"/>
      <c r="P1920" s="49"/>
      <c r="Q1920" s="49"/>
      <c r="R1920" s="49"/>
      <c r="S1920" s="49"/>
      <c r="T1920" s="49"/>
      <c r="U1920" s="49"/>
      <c r="V1920" s="49"/>
      <c r="W1920" s="49"/>
      <c r="X1920" s="49"/>
      <c r="Y1920" s="49"/>
      <c r="Z1920" s="49"/>
      <c r="AA1920" s="49"/>
      <c r="AB1920" s="49"/>
      <c r="AC1920" s="49"/>
    </row>
    <row r="1921" spans="1:29">
      <c r="A1921" s="17">
        <v>3</v>
      </c>
      <c r="B1921" s="21">
        <f>B1907+6.25*256</f>
        <v>6464</v>
      </c>
      <c r="C1921" s="7">
        <f>C1907-1536</f>
        <v>3584</v>
      </c>
      <c r="D1921" s="49">
        <f>ROUNDUP(6+F1921/2,0)</f>
        <v>8</v>
      </c>
      <c r="E1921" s="49" t="s">
        <v>6</v>
      </c>
      <c r="F1921" s="50">
        <f>LEN(G1921)</f>
        <v>3</v>
      </c>
      <c r="G1921" s="50" t="str">
        <f>"N="&amp;A1921</f>
        <v>N=3</v>
      </c>
      <c r="H1921" s="50">
        <f>C1921+192*A1921</f>
        <v>4160</v>
      </c>
      <c r="I1921" s="50">
        <f>B1921</f>
        <v>6464</v>
      </c>
      <c r="J1921" s="50"/>
      <c r="K1921" s="50"/>
      <c r="L1921" s="50"/>
      <c r="M1921" s="50"/>
      <c r="N1921" s="50"/>
      <c r="O1921" s="50"/>
      <c r="P1921" s="49"/>
      <c r="Q1921" s="49"/>
      <c r="R1921" s="49"/>
      <c r="S1921" s="49"/>
      <c r="T1921" s="49"/>
      <c r="U1921" s="49"/>
      <c r="V1921" s="49"/>
      <c r="W1921" s="49"/>
      <c r="X1921" s="49"/>
      <c r="Y1921" s="49"/>
      <c r="Z1921" s="49"/>
      <c r="AA1921" s="49"/>
      <c r="AB1921" s="49"/>
      <c r="AC1921" s="49"/>
    </row>
    <row r="1922" spans="1:29">
      <c r="A1922" s="17" t="s">
        <v>219</v>
      </c>
      <c r="B1922" s="17" t="s">
        <v>111</v>
      </c>
      <c r="C1922" s="49"/>
      <c r="D1922" s="49">
        <f>ROUNDUP(6+F1922/2,0)</f>
        <v>8</v>
      </c>
      <c r="E1922" s="49" t="s">
        <v>6</v>
      </c>
      <c r="F1922" s="50">
        <f>LEN(G1922)</f>
        <v>3</v>
      </c>
      <c r="G1922" s="50" t="s">
        <v>225</v>
      </c>
      <c r="H1922" s="50">
        <f>C1921-192*A1921-320</f>
        <v>2688</v>
      </c>
      <c r="I1922" s="50">
        <f>B1921</f>
        <v>6464</v>
      </c>
      <c r="J1922" s="50"/>
      <c r="K1922" s="50"/>
      <c r="L1922" s="50"/>
      <c r="M1922" s="50"/>
      <c r="N1922" s="50"/>
      <c r="O1922" s="50"/>
      <c r="P1922" s="49"/>
      <c r="Q1922" s="49"/>
      <c r="R1922" s="49"/>
      <c r="S1922" s="49"/>
      <c r="T1922" s="49"/>
      <c r="U1922" s="49"/>
      <c r="V1922" s="49"/>
      <c r="W1922" s="49"/>
      <c r="X1922" s="49"/>
      <c r="Y1922" s="49"/>
      <c r="Z1922" s="49"/>
      <c r="AA1922" s="49"/>
      <c r="AB1922" s="49"/>
      <c r="AC1922" s="49"/>
    </row>
    <row r="1923" spans="1:29">
      <c r="A1923" s="49">
        <v>1</v>
      </c>
      <c r="B1923" s="49">
        <v>0</v>
      </c>
      <c r="C1923" s="49"/>
      <c r="D1923" s="48">
        <v>4</v>
      </c>
      <c r="E1923" s="48" t="s">
        <v>15</v>
      </c>
      <c r="F1923" s="6">
        <v>2</v>
      </c>
      <c r="G1923" s="50"/>
      <c r="H1923" s="50"/>
      <c r="I1923" s="50"/>
      <c r="J1923" s="50"/>
      <c r="K1923" s="50"/>
      <c r="L1923" s="50"/>
      <c r="M1923" s="50"/>
      <c r="N1923" s="50"/>
      <c r="O1923" s="50"/>
      <c r="P1923" s="49"/>
      <c r="Q1923" s="49"/>
      <c r="R1923" s="49"/>
      <c r="S1923" s="49"/>
      <c r="T1923" s="49"/>
      <c r="U1923" s="49"/>
      <c r="V1923" s="49"/>
      <c r="W1923" s="49"/>
      <c r="X1923" s="49"/>
      <c r="Y1923" s="49"/>
      <c r="Z1923" s="49"/>
      <c r="AA1923" s="49"/>
      <c r="AB1923" s="49"/>
      <c r="AC1923" s="49"/>
    </row>
    <row r="1924" spans="1:29">
      <c r="A1924" s="49"/>
      <c r="B1924" s="49"/>
      <c r="C1924" s="49"/>
      <c r="D1924" s="48">
        <f>ROUNDUP(6+F1924/2,0)</f>
        <v>7</v>
      </c>
      <c r="E1924" s="48" t="s">
        <v>6</v>
      </c>
      <c r="F1924" s="6">
        <f>LEN(G1924)</f>
        <v>1</v>
      </c>
      <c r="G1924" s="41" t="s">
        <v>202</v>
      </c>
      <c r="H1924" s="6">
        <f>C1921-A1921*192-192</f>
        <v>2816</v>
      </c>
      <c r="I1924" s="6">
        <f>B1921</f>
        <v>6464</v>
      </c>
      <c r="J1924" s="50"/>
      <c r="K1924" s="50"/>
      <c r="L1924" s="50"/>
      <c r="M1924" s="50"/>
      <c r="N1924" s="50"/>
      <c r="O1924" s="50"/>
      <c r="P1924" s="49"/>
      <c r="Q1924" s="49"/>
      <c r="R1924" s="49"/>
      <c r="S1924" s="49"/>
      <c r="T1924" s="49"/>
      <c r="U1924" s="49"/>
      <c r="V1924" s="49"/>
      <c r="W1924" s="49"/>
      <c r="X1924" s="49"/>
      <c r="Y1924" s="49"/>
      <c r="Z1924" s="49"/>
      <c r="AA1924" s="49"/>
      <c r="AB1924" s="49"/>
      <c r="AC1924" s="49"/>
    </row>
    <row r="1925" spans="1:29">
      <c r="A1925" s="49"/>
      <c r="B1925" s="49"/>
      <c r="C1925" s="49"/>
      <c r="D1925" s="48">
        <f>ROUNDUP(6+F1925/2,0)</f>
        <v>7</v>
      </c>
      <c r="E1925" s="48" t="s">
        <v>6</v>
      </c>
      <c r="F1925" s="6">
        <f>LEN(G1925)</f>
        <v>1</v>
      </c>
      <c r="G1925" s="41" t="s">
        <v>202</v>
      </c>
      <c r="H1925" s="6">
        <f>H1924+384</f>
        <v>3200</v>
      </c>
      <c r="I1925" s="6">
        <f>I1924</f>
        <v>6464</v>
      </c>
      <c r="J1925" s="50"/>
      <c r="K1925" s="50"/>
      <c r="L1925" s="50"/>
      <c r="M1925" s="50"/>
      <c r="N1925" s="50"/>
      <c r="O1925" s="50"/>
      <c r="P1925" s="49"/>
      <c r="Q1925" s="49"/>
      <c r="R1925" s="49"/>
      <c r="S1925" s="49"/>
      <c r="T1925" s="49"/>
      <c r="U1925" s="49"/>
      <c r="V1925" s="49"/>
      <c r="W1925" s="49"/>
      <c r="X1925" s="49"/>
      <c r="Y1925" s="49"/>
      <c r="Z1925" s="49"/>
      <c r="AA1925" s="49"/>
      <c r="AB1925" s="49"/>
      <c r="AC1925" s="49"/>
    </row>
    <row r="1926" spans="1:29">
      <c r="A1926" s="49"/>
      <c r="B1926" s="49"/>
      <c r="C1926" s="49"/>
      <c r="D1926" s="48">
        <f>ROUNDUP(6+F1926/2,0)</f>
        <v>7</v>
      </c>
      <c r="E1926" s="48" t="s">
        <v>6</v>
      </c>
      <c r="F1926" s="6">
        <f>LEN(G1926)</f>
        <v>2</v>
      </c>
      <c r="G1926" s="41" t="s">
        <v>201</v>
      </c>
      <c r="H1926" s="6">
        <f>H1925+384</f>
        <v>3584</v>
      </c>
      <c r="I1926" s="6">
        <f>I1925</f>
        <v>6464</v>
      </c>
      <c r="J1926" s="50"/>
      <c r="K1926" s="50"/>
      <c r="L1926" s="50"/>
      <c r="M1926" s="50"/>
      <c r="N1926" s="50"/>
      <c r="O1926" s="50"/>
      <c r="P1926" s="49"/>
      <c r="Q1926" s="49"/>
      <c r="R1926" s="49"/>
      <c r="S1926" s="49"/>
      <c r="T1926" s="49"/>
      <c r="U1926" s="49"/>
      <c r="V1926" s="49"/>
      <c r="W1926" s="49"/>
      <c r="X1926" s="49"/>
      <c r="Y1926" s="49"/>
      <c r="Z1926" s="49"/>
      <c r="AA1926" s="49"/>
      <c r="AB1926" s="49"/>
      <c r="AC1926" s="49"/>
    </row>
    <row r="1927" spans="1:29">
      <c r="A1927" s="49"/>
      <c r="B1927" s="49"/>
      <c r="C1927" s="49"/>
      <c r="D1927" s="48">
        <v>4</v>
      </c>
      <c r="E1927" s="48" t="s">
        <v>15</v>
      </c>
      <c r="F1927" s="6">
        <v>0</v>
      </c>
      <c r="G1927" s="50"/>
      <c r="H1927" s="50"/>
      <c r="I1927" s="50"/>
      <c r="J1927" s="50"/>
      <c r="K1927" s="50"/>
      <c r="L1927" s="50"/>
      <c r="M1927" s="50"/>
      <c r="N1927" s="50"/>
      <c r="O1927" s="50"/>
      <c r="P1927" s="49"/>
      <c r="Q1927" s="49"/>
      <c r="R1927" s="49"/>
      <c r="S1927" s="49"/>
      <c r="T1927" s="49"/>
      <c r="U1927" s="49"/>
      <c r="V1927" s="49"/>
      <c r="W1927" s="49"/>
      <c r="X1927" s="49"/>
      <c r="Y1927" s="49"/>
      <c r="Z1927" s="49"/>
      <c r="AA1927" s="49"/>
      <c r="AB1927" s="49"/>
      <c r="AC1927" s="49"/>
    </row>
    <row r="1928" spans="1:29">
      <c r="A1928" s="49">
        <f>B1921+784-384*B1923</f>
        <v>7248</v>
      </c>
      <c r="B1928" s="49">
        <f>C1921+256*B1931</f>
        <v>3584</v>
      </c>
      <c r="C1928" s="49">
        <f>B1928+1024*B1931</f>
        <v>3584</v>
      </c>
      <c r="D1928" s="49">
        <v>18</v>
      </c>
      <c r="E1928" s="49" t="s">
        <v>111</v>
      </c>
      <c r="F1928" s="50">
        <v>100</v>
      </c>
      <c r="G1928" s="50">
        <f>A1928+128</f>
        <v>7376</v>
      </c>
      <c r="H1928" s="50">
        <f>B1928</f>
        <v>3584</v>
      </c>
      <c r="I1928" s="50">
        <f>G1928+512+B1923*384</f>
        <v>7888</v>
      </c>
      <c r="J1928" s="50">
        <f>C1928</f>
        <v>3584</v>
      </c>
      <c r="K1928" s="50"/>
      <c r="L1928" s="50"/>
      <c r="M1928" s="50"/>
      <c r="N1928" s="50"/>
      <c r="O1928" s="50"/>
      <c r="P1928" s="49"/>
      <c r="Q1928" s="49"/>
      <c r="R1928" s="49"/>
      <c r="S1928" s="49"/>
      <c r="T1928" s="49"/>
      <c r="U1928" s="49"/>
      <c r="V1928" s="49"/>
      <c r="W1928" s="49"/>
      <c r="X1928" s="49"/>
      <c r="Y1928" s="49"/>
      <c r="Z1928" s="49"/>
      <c r="AA1928" s="49"/>
      <c r="AB1928" s="49"/>
      <c r="AC1928" s="49"/>
    </row>
    <row r="1929" spans="1:29">
      <c r="A1929" s="49">
        <f>A1928</f>
        <v>7248</v>
      </c>
      <c r="B1929" s="49">
        <f>C1921+256*C1931</f>
        <v>4096</v>
      </c>
      <c r="C1929" s="49">
        <f>B1929+1024*C1931</f>
        <v>6144</v>
      </c>
      <c r="D1929" s="49">
        <v>18</v>
      </c>
      <c r="E1929" s="49" t="s">
        <v>111</v>
      </c>
      <c r="F1929" s="50">
        <v>100</v>
      </c>
      <c r="G1929" s="50">
        <f>A1929+128</f>
        <v>7376</v>
      </c>
      <c r="H1929" s="50">
        <f>B1929</f>
        <v>4096</v>
      </c>
      <c r="I1929" s="50">
        <f>G1929+512+B1923*384</f>
        <v>7888</v>
      </c>
      <c r="J1929" s="50">
        <f>C1929</f>
        <v>6144</v>
      </c>
      <c r="K1929" s="50"/>
      <c r="L1929" s="50"/>
      <c r="M1929" s="50"/>
      <c r="N1929" s="50"/>
      <c r="O1929" s="50"/>
      <c r="P1929" s="49"/>
      <c r="Q1929" s="49"/>
      <c r="R1929" s="49"/>
      <c r="S1929" s="49"/>
      <c r="T1929" s="49"/>
      <c r="U1929" s="49"/>
      <c r="V1929" s="49"/>
      <c r="W1929" s="49"/>
      <c r="X1929" s="49"/>
      <c r="Y1929" s="49"/>
      <c r="Z1929" s="49"/>
      <c r="AA1929" s="49"/>
      <c r="AB1929" s="49"/>
      <c r="AC1929" s="49"/>
    </row>
    <row r="1930" spans="1:29">
      <c r="A1930" s="49" t="s">
        <v>8</v>
      </c>
      <c r="B1930" s="49" t="s">
        <v>221</v>
      </c>
      <c r="C1930" s="49" t="s">
        <v>222</v>
      </c>
      <c r="D1930" s="49">
        <f>ROUNDUP(6+F1930/2,0)</f>
        <v>8</v>
      </c>
      <c r="E1930" s="49" t="s">
        <v>6</v>
      </c>
      <c r="F1930" s="50">
        <f>LEN(G1930)</f>
        <v>3</v>
      </c>
      <c r="G1930" s="40" t="s">
        <v>226</v>
      </c>
      <c r="H1930" s="50">
        <f>H1928/2+J1928/2-IF(B1931,128,320)</f>
        <v>3264</v>
      </c>
      <c r="I1930" s="50">
        <f>G1928+128</f>
        <v>7504</v>
      </c>
      <c r="J1930" s="50"/>
      <c r="K1930" s="50"/>
      <c r="L1930" s="50"/>
      <c r="M1930" s="50"/>
      <c r="N1930" s="50"/>
      <c r="O1930" s="50"/>
      <c r="P1930" s="49"/>
      <c r="Q1930" s="49"/>
      <c r="R1930" s="49"/>
      <c r="S1930" s="49"/>
      <c r="T1930" s="49"/>
      <c r="U1930" s="49"/>
      <c r="V1930" s="49"/>
      <c r="W1930" s="49"/>
      <c r="X1930" s="49"/>
      <c r="Y1930" s="49"/>
      <c r="Z1930" s="49"/>
      <c r="AA1930" s="49"/>
      <c r="AB1930" s="49"/>
      <c r="AC1930" s="49"/>
    </row>
    <row r="1931" spans="1:29">
      <c r="A1931" s="49" t="s">
        <v>223</v>
      </c>
      <c r="B1931" s="49">
        <v>0</v>
      </c>
      <c r="C1931" s="49">
        <v>2</v>
      </c>
      <c r="D1931" s="49">
        <f>ROUNDUP(6+F1931/2,0)</f>
        <v>8</v>
      </c>
      <c r="E1931" s="49" t="s">
        <v>6</v>
      </c>
      <c r="F1931" s="50">
        <f>LEN(G1931)</f>
        <v>3</v>
      </c>
      <c r="G1931" s="40" t="s">
        <v>50</v>
      </c>
      <c r="H1931" s="50">
        <f>H1929/2+J1929/2-IF(C1931,128,320)</f>
        <v>4992</v>
      </c>
      <c r="I1931" s="50">
        <f>G1929+128</f>
        <v>7504</v>
      </c>
      <c r="J1931" s="50"/>
      <c r="K1931" s="50"/>
      <c r="L1931" s="50"/>
      <c r="M1931" s="50"/>
      <c r="N1931" s="50"/>
      <c r="O1931" s="50"/>
      <c r="P1931" s="49"/>
      <c r="Q1931" s="49"/>
      <c r="R1931" s="49"/>
      <c r="S1931" s="49"/>
      <c r="T1931" s="49"/>
      <c r="U1931" s="49"/>
      <c r="V1931" s="49"/>
      <c r="W1931" s="49"/>
      <c r="X1931" s="49"/>
      <c r="Y1931" s="49"/>
      <c r="Z1931" s="49"/>
      <c r="AA1931" s="49"/>
      <c r="AB1931" s="49"/>
      <c r="AC1931" s="49"/>
    </row>
    <row r="1932" spans="1:29">
      <c r="A1932" s="49"/>
      <c r="B1932" s="49"/>
      <c r="C1932" s="49"/>
      <c r="D1932" s="49">
        <v>7</v>
      </c>
      <c r="E1932" s="49" t="s">
        <v>5</v>
      </c>
      <c r="F1932" s="50">
        <f>C1921+384*1.5</f>
        <v>4160</v>
      </c>
      <c r="G1932" s="50">
        <f>B1921</f>
        <v>6464</v>
      </c>
      <c r="H1932" s="50">
        <f>C1921+192</f>
        <v>3776</v>
      </c>
      <c r="I1932" s="50">
        <f>G1932+768</f>
        <v>7232</v>
      </c>
      <c r="J1932" s="50"/>
      <c r="K1932" s="50"/>
      <c r="L1932" s="50"/>
      <c r="M1932" s="50"/>
      <c r="N1932" s="50"/>
      <c r="O1932" s="50"/>
      <c r="P1932" s="49"/>
      <c r="Q1932" s="49"/>
      <c r="R1932" s="49"/>
      <c r="S1932" s="49"/>
      <c r="T1932" s="49"/>
      <c r="U1932" s="49"/>
      <c r="V1932" s="49"/>
      <c r="W1932" s="49"/>
      <c r="X1932" s="49"/>
      <c r="Y1932" s="49"/>
      <c r="Z1932" s="49"/>
      <c r="AA1932" s="49"/>
      <c r="AB1932" s="49"/>
      <c r="AC1932" s="49"/>
    </row>
    <row r="1933" spans="1:29">
      <c r="A1933" s="49"/>
      <c r="B1933" s="49"/>
      <c r="C1933" s="49"/>
      <c r="D1933" s="49">
        <f>F1933*2+4</f>
        <v>8</v>
      </c>
      <c r="E1933" s="49" t="s">
        <v>1</v>
      </c>
      <c r="F1933" s="50">
        <v>2</v>
      </c>
      <c r="G1933" s="50">
        <f>B1921</f>
        <v>6464</v>
      </c>
      <c r="H1933" s="50">
        <f>C1921-192</f>
        <v>3392</v>
      </c>
      <c r="I1933" s="50">
        <f>G1933+384</f>
        <v>6848</v>
      </c>
      <c r="J1933" s="50">
        <f>H1933</f>
        <v>3392</v>
      </c>
      <c r="K1933" s="50"/>
      <c r="L1933" s="50"/>
      <c r="M1933" s="50"/>
      <c r="N1933" s="50"/>
      <c r="O1933" s="50"/>
      <c r="P1933" s="49"/>
      <c r="Q1933" s="49"/>
      <c r="R1933" s="49"/>
      <c r="S1933" s="49"/>
      <c r="T1933" s="49"/>
      <c r="U1933" s="49"/>
      <c r="V1933" s="49"/>
      <c r="W1933" s="49"/>
      <c r="X1933" s="49"/>
      <c r="Y1933" s="49"/>
      <c r="Z1933" s="49"/>
      <c r="AA1933" s="49"/>
      <c r="AB1933" s="49"/>
      <c r="AC1933" s="49"/>
    </row>
    <row r="1934" spans="1:29">
      <c r="A1934" s="12" t="s">
        <v>42</v>
      </c>
      <c r="B1934" s="12" t="s">
        <v>8</v>
      </c>
      <c r="C1934" s="49" t="s">
        <v>7</v>
      </c>
      <c r="D1934" s="49">
        <v>7</v>
      </c>
      <c r="E1934" s="49" t="s">
        <v>5</v>
      </c>
      <c r="F1934" s="50">
        <f>C1935+A1935*192</f>
        <v>7040</v>
      </c>
      <c r="G1934" s="50">
        <f>B1935</f>
        <v>6464</v>
      </c>
      <c r="H1934" s="50">
        <f>C1935-192*A1935</f>
        <v>6272</v>
      </c>
      <c r="I1934" s="50">
        <f>G1934+384*A1937</f>
        <v>7232</v>
      </c>
      <c r="J1934" s="50"/>
      <c r="K1934" s="50"/>
      <c r="L1934" s="50"/>
      <c r="M1934" s="50"/>
      <c r="N1934" s="50"/>
      <c r="O1934" s="50"/>
      <c r="P1934" s="49"/>
      <c r="Q1934" s="49"/>
      <c r="R1934" s="49"/>
      <c r="S1934" s="49"/>
      <c r="T1934" s="49"/>
      <c r="U1934" s="49"/>
      <c r="V1934" s="49"/>
      <c r="W1934" s="49"/>
      <c r="X1934" s="49"/>
      <c r="Y1934" s="49"/>
      <c r="Z1934" s="49"/>
      <c r="AA1934" s="49"/>
      <c r="AB1934" s="49"/>
      <c r="AC1934" s="49"/>
    </row>
    <row r="1935" spans="1:29">
      <c r="A1935" s="17">
        <v>2</v>
      </c>
      <c r="B1935" s="20">
        <f>B1907+6.25*256</f>
        <v>6464</v>
      </c>
      <c r="C1935" s="7">
        <f>C1907+1536</f>
        <v>6656</v>
      </c>
      <c r="D1935" s="49">
        <f>ROUNDUP(6+F1935/2,0)</f>
        <v>8</v>
      </c>
      <c r="E1935" s="49" t="s">
        <v>6</v>
      </c>
      <c r="F1935" s="50">
        <f>LEN(G1935)</f>
        <v>3</v>
      </c>
      <c r="G1935" s="50" t="str">
        <f>"N="&amp;A1935</f>
        <v>N=2</v>
      </c>
      <c r="H1935" s="50">
        <f>C1935+192*A1935</f>
        <v>7040</v>
      </c>
      <c r="I1935" s="50">
        <f>B1935</f>
        <v>6464</v>
      </c>
      <c r="J1935" s="50"/>
      <c r="K1935" s="50"/>
      <c r="L1935" s="50"/>
      <c r="M1935" s="50"/>
      <c r="N1935" s="50"/>
      <c r="O1935" s="50"/>
      <c r="P1935" s="49"/>
      <c r="Q1935" s="49"/>
      <c r="R1935" s="49"/>
      <c r="S1935" s="49"/>
      <c r="T1935" s="49"/>
      <c r="U1935" s="49"/>
      <c r="V1935" s="49"/>
      <c r="W1935" s="49"/>
      <c r="X1935" s="49"/>
      <c r="Y1935" s="49"/>
      <c r="Z1935" s="49"/>
      <c r="AA1935" s="49"/>
      <c r="AB1935" s="49"/>
      <c r="AC1935" s="49"/>
    </row>
    <row r="1936" spans="1:29">
      <c r="A1936" s="17" t="s">
        <v>219</v>
      </c>
      <c r="B1936" s="17" t="s">
        <v>111</v>
      </c>
      <c r="C1936" s="49"/>
      <c r="D1936" s="49">
        <f>ROUNDUP(6+F1936/2,0)</f>
        <v>9</v>
      </c>
      <c r="E1936" s="49" t="s">
        <v>6</v>
      </c>
      <c r="F1936" s="50">
        <f>LEN(G1936)</f>
        <v>5</v>
      </c>
      <c r="G1936" s="50" t="s">
        <v>213</v>
      </c>
      <c r="H1936" s="50">
        <f>C1935-192*A1935-320</f>
        <v>5952</v>
      </c>
      <c r="I1936" s="50">
        <f>B1935</f>
        <v>6464</v>
      </c>
      <c r="J1936" s="50"/>
      <c r="K1936" s="50"/>
      <c r="L1936" s="50"/>
      <c r="M1936" s="50"/>
      <c r="N1936" s="50"/>
      <c r="O1936" s="50"/>
      <c r="P1936" s="49"/>
      <c r="Q1936" s="49"/>
      <c r="R1936" s="49"/>
      <c r="S1936" s="49"/>
      <c r="T1936" s="49"/>
      <c r="U1936" s="49"/>
      <c r="V1936" s="49"/>
      <c r="W1936" s="49"/>
      <c r="X1936" s="49"/>
      <c r="Y1936" s="49"/>
      <c r="Z1936" s="49"/>
      <c r="AA1936" s="49"/>
      <c r="AB1936" s="49"/>
      <c r="AC1936" s="49"/>
    </row>
    <row r="1937" spans="1:29">
      <c r="A1937" s="49">
        <v>2</v>
      </c>
      <c r="B1937" s="49">
        <v>0</v>
      </c>
      <c r="C1937" s="49"/>
      <c r="D1937" s="48">
        <v>4</v>
      </c>
      <c r="E1937" s="48" t="s">
        <v>15</v>
      </c>
      <c r="F1937" s="6">
        <v>2</v>
      </c>
      <c r="G1937" s="50"/>
      <c r="H1937" s="50"/>
      <c r="I1937" s="50"/>
      <c r="J1937" s="50"/>
      <c r="K1937" s="50"/>
      <c r="L1937" s="50"/>
      <c r="M1937" s="50"/>
      <c r="N1937" s="50"/>
      <c r="O1937" s="50"/>
      <c r="P1937" s="49"/>
      <c r="Q1937" s="49"/>
      <c r="R1937" s="49"/>
      <c r="S1937" s="49"/>
      <c r="T1937" s="49"/>
      <c r="U1937" s="49"/>
      <c r="V1937" s="49"/>
      <c r="W1937" s="49"/>
      <c r="X1937" s="49"/>
      <c r="Y1937" s="49"/>
      <c r="Z1937" s="49"/>
      <c r="AA1937" s="49"/>
      <c r="AB1937" s="49"/>
      <c r="AC1937" s="49"/>
    </row>
    <row r="1938" spans="1:29">
      <c r="A1938" s="49"/>
      <c r="B1938" s="49"/>
      <c r="C1938" s="49"/>
      <c r="D1938" s="48">
        <f>ROUNDUP(6+F1938/2,0)</f>
        <v>7</v>
      </c>
      <c r="E1938" s="48" t="s">
        <v>6</v>
      </c>
      <c r="F1938" s="6">
        <f>LEN(G1938)</f>
        <v>2</v>
      </c>
      <c r="G1938" s="41" t="s">
        <v>201</v>
      </c>
      <c r="H1938" s="6">
        <f>C1935-A1935*192-192</f>
        <v>6080</v>
      </c>
      <c r="I1938" s="6">
        <f>B1935</f>
        <v>6464</v>
      </c>
      <c r="J1938" s="50"/>
      <c r="K1938" s="50"/>
      <c r="L1938" s="50"/>
      <c r="M1938" s="50"/>
      <c r="N1938" s="50"/>
      <c r="O1938" s="50"/>
      <c r="P1938" s="49"/>
      <c r="Q1938" s="49"/>
      <c r="R1938" s="49"/>
      <c r="S1938" s="49"/>
      <c r="T1938" s="49"/>
      <c r="U1938" s="49"/>
      <c r="V1938" s="49"/>
      <c r="W1938" s="49"/>
      <c r="X1938" s="49"/>
      <c r="Y1938" s="49"/>
      <c r="Z1938" s="49"/>
      <c r="AA1938" s="49"/>
      <c r="AB1938" s="49"/>
      <c r="AC1938" s="49"/>
    </row>
    <row r="1939" spans="1:29">
      <c r="A1939" s="49"/>
      <c r="B1939" s="49"/>
      <c r="C1939" s="49"/>
      <c r="D1939" s="48">
        <f>ROUNDUP(6+F1939/2,0)</f>
        <v>7</v>
      </c>
      <c r="E1939" s="48" t="s">
        <v>6</v>
      </c>
      <c r="F1939" s="6">
        <f>LEN(G1939)</f>
        <v>2</v>
      </c>
      <c r="G1939" s="41" t="s">
        <v>201</v>
      </c>
      <c r="H1939" s="6">
        <f>H1938+384</f>
        <v>6464</v>
      </c>
      <c r="I1939" s="6">
        <f>I1938</f>
        <v>6464</v>
      </c>
      <c r="J1939" s="50"/>
      <c r="K1939" s="50"/>
      <c r="L1939" s="50"/>
      <c r="M1939" s="50"/>
      <c r="N1939" s="50"/>
      <c r="O1939" s="50"/>
      <c r="P1939" s="49"/>
      <c r="Q1939" s="49"/>
      <c r="R1939" s="49"/>
      <c r="S1939" s="49"/>
      <c r="T1939" s="49"/>
      <c r="U1939" s="49"/>
      <c r="V1939" s="49"/>
      <c r="W1939" s="49"/>
      <c r="X1939" s="49"/>
      <c r="Y1939" s="49"/>
      <c r="Z1939" s="49"/>
      <c r="AA1939" s="49"/>
      <c r="AB1939" s="49"/>
      <c r="AC1939" s="49"/>
    </row>
    <row r="1940" spans="1:29">
      <c r="A1940" s="49" t="s">
        <v>223</v>
      </c>
      <c r="B1940" s="49">
        <v>0</v>
      </c>
      <c r="C1940" s="49"/>
      <c r="D1940" s="48">
        <v>4</v>
      </c>
      <c r="E1940" s="48" t="s">
        <v>15</v>
      </c>
      <c r="F1940" s="6">
        <v>0</v>
      </c>
      <c r="G1940" s="50"/>
      <c r="H1940" s="50"/>
      <c r="I1940" s="50"/>
      <c r="J1940" s="50"/>
      <c r="K1940" s="50"/>
      <c r="L1940" s="50"/>
      <c r="M1940" s="50"/>
      <c r="N1940" s="50"/>
      <c r="O1940" s="50"/>
      <c r="P1940" s="49"/>
      <c r="Q1940" s="49"/>
      <c r="R1940" s="49"/>
      <c r="S1940" s="49"/>
      <c r="T1940" s="49"/>
      <c r="U1940" s="49"/>
      <c r="V1940" s="49"/>
      <c r="W1940" s="49"/>
      <c r="X1940" s="49"/>
      <c r="Y1940" s="49"/>
      <c r="Z1940" s="49"/>
      <c r="AA1940" s="49"/>
      <c r="AB1940" s="49"/>
      <c r="AC1940" s="49"/>
    </row>
    <row r="1941" spans="1:29">
      <c r="A1941" s="49">
        <f>B1935+784-384*B1937</f>
        <v>7248</v>
      </c>
      <c r="B1941" s="49">
        <f>C1935+256*B1940</f>
        <v>6656</v>
      </c>
      <c r="C1941" s="49">
        <f>B1941+1024*B1940</f>
        <v>6656</v>
      </c>
      <c r="D1941" s="49">
        <v>18</v>
      </c>
      <c r="E1941" s="49" t="s">
        <v>111</v>
      </c>
      <c r="F1941" s="50">
        <v>100</v>
      </c>
      <c r="G1941" s="50">
        <f>A1941+128</f>
        <v>7376</v>
      </c>
      <c r="H1941" s="50">
        <f>B1941</f>
        <v>6656</v>
      </c>
      <c r="I1941" s="50">
        <f>G1941+512+B1937*384</f>
        <v>7888</v>
      </c>
      <c r="J1941" s="50">
        <f>C1941</f>
        <v>6656</v>
      </c>
      <c r="K1941" s="50"/>
      <c r="L1941" s="50"/>
      <c r="M1941" s="50"/>
      <c r="N1941" s="50"/>
      <c r="O1941" s="50"/>
      <c r="P1941" s="49"/>
      <c r="Q1941" s="49"/>
      <c r="R1941" s="49"/>
      <c r="S1941" s="49"/>
      <c r="T1941" s="49"/>
      <c r="U1941" s="49"/>
      <c r="V1941" s="49"/>
      <c r="W1941" s="49"/>
      <c r="X1941" s="49"/>
      <c r="Y1941" s="49"/>
      <c r="Z1941" s="49"/>
      <c r="AA1941" s="49"/>
      <c r="AB1941" s="49"/>
      <c r="AC1941" s="49"/>
    </row>
    <row r="1942" spans="1:29">
      <c r="A1942" s="49"/>
      <c r="B1942" s="49"/>
      <c r="C1942" s="49"/>
      <c r="D1942" s="49">
        <f>F1942*2+4</f>
        <v>8</v>
      </c>
      <c r="E1942" s="49" t="s">
        <v>1</v>
      </c>
      <c r="F1942" s="50">
        <v>2</v>
      </c>
      <c r="G1942" s="50">
        <f>B1935</f>
        <v>6464</v>
      </c>
      <c r="H1942" s="50">
        <f>C1935</f>
        <v>6656</v>
      </c>
      <c r="I1942" s="50">
        <f>G1942+768</f>
        <v>7232</v>
      </c>
      <c r="J1942" s="50">
        <f>H1942</f>
        <v>6656</v>
      </c>
      <c r="K1942" s="50"/>
      <c r="L1942" s="50"/>
      <c r="M1942" s="50"/>
      <c r="N1942" s="50"/>
      <c r="O1942" s="50"/>
      <c r="P1942" s="49"/>
      <c r="Q1942" s="49"/>
      <c r="R1942" s="49"/>
      <c r="S1942" s="49"/>
      <c r="T1942" s="49"/>
      <c r="U1942" s="49"/>
      <c r="V1942" s="49"/>
      <c r="W1942" s="49"/>
      <c r="X1942" s="49"/>
      <c r="Y1942" s="49"/>
      <c r="Z1942" s="49"/>
      <c r="AA1942" s="49"/>
      <c r="AB1942" s="49"/>
      <c r="AC1942" s="49"/>
    </row>
    <row r="1943" spans="1:29">
      <c r="A1943" s="49"/>
      <c r="B1943" s="49"/>
      <c r="C1943" s="49"/>
      <c r="D1943" s="49">
        <f>F1943*2+4</f>
        <v>8</v>
      </c>
      <c r="E1943" s="49" t="s">
        <v>1</v>
      </c>
      <c r="F1943" s="50">
        <v>2</v>
      </c>
      <c r="G1943" s="50">
        <f>B1935+384</f>
        <v>6848</v>
      </c>
      <c r="H1943" s="50">
        <f>C1935+384</f>
        <v>7040</v>
      </c>
      <c r="I1943" s="50">
        <f>G1943</f>
        <v>6848</v>
      </c>
      <c r="J1943" s="50">
        <f>H1943-768</f>
        <v>6272</v>
      </c>
      <c r="K1943" s="50"/>
      <c r="L1943" s="50"/>
      <c r="M1943" s="50"/>
      <c r="N1943" s="50"/>
      <c r="O1943" s="50"/>
      <c r="P1943" s="49"/>
      <c r="Q1943" s="49"/>
      <c r="R1943" s="49"/>
      <c r="S1943" s="49"/>
      <c r="T1943" s="49"/>
      <c r="U1943" s="49"/>
      <c r="V1943" s="49"/>
      <c r="W1943" s="49"/>
      <c r="X1943" s="49"/>
      <c r="Y1943" s="49"/>
      <c r="Z1943" s="49"/>
      <c r="AA1943" s="49"/>
      <c r="AB1943" s="49"/>
      <c r="AC1943" s="49"/>
    </row>
    <row r="1944" spans="1:29">
      <c r="A1944" s="17" t="s">
        <v>42</v>
      </c>
      <c r="B1944" s="19" t="s">
        <v>8</v>
      </c>
      <c r="C1944" s="49" t="s">
        <v>7</v>
      </c>
      <c r="D1944" s="49">
        <v>7</v>
      </c>
      <c r="E1944" s="49" t="s">
        <v>5</v>
      </c>
      <c r="F1944" s="50">
        <f>C1945+A1945*192</f>
        <v>4160</v>
      </c>
      <c r="G1944" s="50">
        <f>B1945</f>
        <v>8064</v>
      </c>
      <c r="H1944" s="50">
        <f>C1945-192*A1945</f>
        <v>3008</v>
      </c>
      <c r="I1944" s="50">
        <f>G1944+384*A1947</f>
        <v>8448</v>
      </c>
      <c r="J1944" s="50"/>
      <c r="K1944" s="50"/>
      <c r="L1944" s="50"/>
      <c r="M1944" s="50"/>
      <c r="N1944" s="50"/>
      <c r="O1944" s="50"/>
      <c r="P1944" s="49"/>
      <c r="Q1944" s="49"/>
      <c r="R1944" s="49"/>
      <c r="S1944" s="49"/>
      <c r="T1944" s="49"/>
      <c r="U1944" s="49"/>
      <c r="V1944" s="49"/>
      <c r="W1944" s="49"/>
      <c r="X1944" s="49"/>
      <c r="Y1944" s="49"/>
      <c r="Z1944" s="49"/>
      <c r="AA1944" s="49"/>
      <c r="AB1944" s="49"/>
      <c r="AC1944" s="49"/>
    </row>
    <row r="1945" spans="1:29">
      <c r="A1945" s="17">
        <v>3</v>
      </c>
      <c r="B1945" s="22">
        <f>B1921+6.25*256</f>
        <v>8064</v>
      </c>
      <c r="C1945" s="7">
        <f>C1921</f>
        <v>3584</v>
      </c>
      <c r="D1945" s="49">
        <f>ROUNDUP(6+F1945/2,0)</f>
        <v>8</v>
      </c>
      <c r="E1945" s="49" t="s">
        <v>6</v>
      </c>
      <c r="F1945" s="50">
        <f>LEN(G1945)</f>
        <v>3</v>
      </c>
      <c r="G1945" s="50" t="str">
        <f>"N="&amp;A1945</f>
        <v>N=3</v>
      </c>
      <c r="H1945" s="50">
        <f>C1945+192*A1945</f>
        <v>4160</v>
      </c>
      <c r="I1945" s="50">
        <f>B1945</f>
        <v>8064</v>
      </c>
      <c r="J1945" s="50"/>
      <c r="K1945" s="50"/>
      <c r="L1945" s="50"/>
      <c r="M1945" s="50"/>
      <c r="N1945" s="50"/>
      <c r="O1945" s="50"/>
      <c r="P1945" s="49"/>
      <c r="Q1945" s="49"/>
      <c r="R1945" s="49"/>
      <c r="S1945" s="49"/>
      <c r="T1945" s="49"/>
      <c r="U1945" s="49"/>
      <c r="V1945" s="49"/>
      <c r="W1945" s="49"/>
      <c r="X1945" s="49"/>
      <c r="Y1945" s="49"/>
      <c r="Z1945" s="49"/>
      <c r="AA1945" s="49"/>
      <c r="AB1945" s="49"/>
      <c r="AC1945" s="49"/>
    </row>
    <row r="1946" spans="1:29">
      <c r="A1946" s="17" t="s">
        <v>219</v>
      </c>
      <c r="B1946" s="19" t="s">
        <v>111</v>
      </c>
      <c r="C1946" s="49"/>
      <c r="D1946" s="49">
        <f>ROUNDUP(6+F1946/2,0)</f>
        <v>8</v>
      </c>
      <c r="E1946" s="49" t="s">
        <v>6</v>
      </c>
      <c r="F1946" s="50">
        <f>LEN(G1946)</f>
        <v>3</v>
      </c>
      <c r="G1946" s="50" t="s">
        <v>218</v>
      </c>
      <c r="H1946" s="50">
        <f>C1945-192*A1945-320</f>
        <v>2688</v>
      </c>
      <c r="I1946" s="50">
        <f>B1945</f>
        <v>8064</v>
      </c>
      <c r="J1946" s="50"/>
      <c r="K1946" s="50"/>
      <c r="L1946" s="50"/>
      <c r="M1946" s="50"/>
      <c r="N1946" s="50"/>
      <c r="O1946" s="50"/>
      <c r="P1946" s="49"/>
      <c r="Q1946" s="49"/>
      <c r="R1946" s="49"/>
      <c r="S1946" s="49"/>
      <c r="T1946" s="49"/>
      <c r="U1946" s="49"/>
      <c r="V1946" s="49"/>
      <c r="W1946" s="49"/>
      <c r="X1946" s="49"/>
      <c r="Y1946" s="49"/>
      <c r="Z1946" s="49"/>
      <c r="AA1946" s="49"/>
      <c r="AB1946" s="49"/>
      <c r="AC1946" s="49"/>
    </row>
    <row r="1947" spans="1:29">
      <c r="A1947" s="49">
        <v>1</v>
      </c>
      <c r="B1947" s="49">
        <v>1</v>
      </c>
      <c r="C1947" s="49"/>
      <c r="D1947" s="48">
        <v>4</v>
      </c>
      <c r="E1947" s="48" t="s">
        <v>15</v>
      </c>
      <c r="F1947" s="6">
        <v>2</v>
      </c>
      <c r="G1947" s="50"/>
      <c r="H1947" s="50"/>
      <c r="I1947" s="50"/>
      <c r="J1947" s="50"/>
      <c r="K1947" s="50"/>
      <c r="L1947" s="50"/>
      <c r="M1947" s="50"/>
      <c r="N1947" s="50"/>
      <c r="O1947" s="50"/>
      <c r="P1947" s="49"/>
      <c r="Q1947" s="49"/>
      <c r="R1947" s="49"/>
      <c r="S1947" s="49"/>
      <c r="T1947" s="49"/>
      <c r="U1947" s="49"/>
      <c r="V1947" s="49"/>
      <c r="W1947" s="49"/>
      <c r="X1947" s="49"/>
      <c r="Y1947" s="49"/>
      <c r="Z1947" s="49"/>
      <c r="AA1947" s="49"/>
      <c r="AB1947" s="49"/>
      <c r="AC1947" s="49"/>
    </row>
    <row r="1948" spans="1:29">
      <c r="A1948" s="49"/>
      <c r="B1948" s="49"/>
      <c r="C1948" s="49"/>
      <c r="D1948" s="48">
        <f>ROUNDUP(6+F1948/2,0)</f>
        <v>7</v>
      </c>
      <c r="E1948" s="48" t="s">
        <v>6</v>
      </c>
      <c r="F1948" s="6">
        <f>LEN(G1948)</f>
        <v>1</v>
      </c>
      <c r="G1948" s="41" t="s">
        <v>202</v>
      </c>
      <c r="H1948" s="6">
        <f>C1945-A1945*192-192</f>
        <v>2816</v>
      </c>
      <c r="I1948" s="6">
        <f>B1945</f>
        <v>8064</v>
      </c>
      <c r="J1948" s="50"/>
      <c r="K1948" s="50"/>
      <c r="L1948" s="50"/>
      <c r="M1948" s="50"/>
      <c r="N1948" s="50"/>
      <c r="O1948" s="50"/>
      <c r="P1948" s="49"/>
      <c r="Q1948" s="49"/>
      <c r="R1948" s="49"/>
      <c r="S1948" s="49"/>
      <c r="T1948" s="49"/>
      <c r="U1948" s="49"/>
      <c r="V1948" s="49"/>
      <c r="W1948" s="49"/>
      <c r="X1948" s="49"/>
      <c r="Y1948" s="49"/>
      <c r="Z1948" s="49"/>
      <c r="AA1948" s="49"/>
      <c r="AB1948" s="49"/>
      <c r="AC1948" s="49"/>
    </row>
    <row r="1949" spans="1:29">
      <c r="A1949" s="49"/>
      <c r="B1949" s="49"/>
      <c r="C1949" s="49"/>
      <c r="D1949" s="48">
        <f>ROUNDUP(6+F1949/2,0)</f>
        <v>7</v>
      </c>
      <c r="E1949" s="48" t="s">
        <v>6</v>
      </c>
      <c r="F1949" s="6">
        <f>LEN(G1949)</f>
        <v>1</v>
      </c>
      <c r="G1949" s="41" t="s">
        <v>202</v>
      </c>
      <c r="H1949" s="6">
        <f>H1948+384</f>
        <v>3200</v>
      </c>
      <c r="I1949" s="6">
        <f>I1948</f>
        <v>8064</v>
      </c>
      <c r="J1949" s="50"/>
      <c r="K1949" s="50"/>
      <c r="L1949" s="50"/>
      <c r="M1949" s="50"/>
      <c r="N1949" s="50"/>
      <c r="O1949" s="50"/>
      <c r="P1949" s="49"/>
      <c r="Q1949" s="49"/>
      <c r="R1949" s="49"/>
      <c r="S1949" s="49"/>
      <c r="T1949" s="49"/>
      <c r="U1949" s="49"/>
      <c r="V1949" s="49"/>
      <c r="W1949" s="49"/>
      <c r="X1949" s="49"/>
      <c r="Y1949" s="49"/>
      <c r="Z1949" s="49"/>
      <c r="AA1949" s="49"/>
      <c r="AB1949" s="49"/>
      <c r="AC1949" s="49"/>
    </row>
    <row r="1950" spans="1:29">
      <c r="A1950" s="49"/>
      <c r="B1950" s="49"/>
      <c r="C1950" s="49"/>
      <c r="D1950" s="48">
        <f>ROUNDUP(6+F1950/2,0)</f>
        <v>7</v>
      </c>
      <c r="E1950" s="48" t="s">
        <v>6</v>
      </c>
      <c r="F1950" s="6">
        <f>LEN(G1950)</f>
        <v>1</v>
      </c>
      <c r="G1950" s="41" t="s">
        <v>202</v>
      </c>
      <c r="H1950" s="6">
        <f>H1949+384</f>
        <v>3584</v>
      </c>
      <c r="I1950" s="6">
        <f>I1949</f>
        <v>8064</v>
      </c>
      <c r="J1950" s="50"/>
      <c r="K1950" s="50"/>
      <c r="L1950" s="50"/>
      <c r="M1950" s="50"/>
      <c r="N1950" s="50"/>
      <c r="O1950" s="50"/>
      <c r="P1950" s="49"/>
      <c r="Q1950" s="49"/>
      <c r="R1950" s="49"/>
      <c r="S1950" s="49"/>
      <c r="T1950" s="49"/>
      <c r="U1950" s="49"/>
      <c r="V1950" s="49"/>
      <c r="W1950" s="49"/>
      <c r="X1950" s="49"/>
      <c r="Y1950" s="49"/>
      <c r="Z1950" s="49"/>
      <c r="AA1950" s="49"/>
      <c r="AB1950" s="49"/>
      <c r="AC1950" s="49"/>
    </row>
    <row r="1951" spans="1:29">
      <c r="A1951" s="49" t="s">
        <v>223</v>
      </c>
      <c r="B1951" s="49">
        <v>0</v>
      </c>
      <c r="C1951" s="49"/>
      <c r="D1951" s="48">
        <v>4</v>
      </c>
      <c r="E1951" s="48" t="s">
        <v>15</v>
      </c>
      <c r="F1951" s="6">
        <v>0</v>
      </c>
      <c r="G1951" s="50"/>
      <c r="H1951" s="50"/>
      <c r="I1951" s="50"/>
      <c r="J1951" s="50"/>
      <c r="K1951" s="50"/>
      <c r="L1951" s="50"/>
      <c r="M1951" s="50"/>
      <c r="N1951" s="50"/>
      <c r="O1951" s="50"/>
      <c r="P1951" s="49"/>
      <c r="Q1951" s="49"/>
      <c r="R1951" s="49"/>
      <c r="S1951" s="49"/>
      <c r="T1951" s="49"/>
      <c r="U1951" s="49"/>
      <c r="V1951" s="49"/>
      <c r="W1951" s="49"/>
      <c r="X1951" s="49"/>
      <c r="Y1951" s="49"/>
      <c r="Z1951" s="49"/>
      <c r="AA1951" s="49"/>
      <c r="AB1951" s="49"/>
      <c r="AC1951" s="49"/>
    </row>
    <row r="1952" spans="1:29">
      <c r="A1952" s="49">
        <f>B1945+784-384*B1947</f>
        <v>8464</v>
      </c>
      <c r="B1952" s="49">
        <f>C1945+256*B1951</f>
        <v>3584</v>
      </c>
      <c r="C1952" s="49">
        <f>B1952+1024*B1951</f>
        <v>3584</v>
      </c>
      <c r="D1952" s="49">
        <v>18</v>
      </c>
      <c r="E1952" s="49" t="s">
        <v>111</v>
      </c>
      <c r="F1952" s="50">
        <v>100</v>
      </c>
      <c r="G1952" s="50">
        <f>A1952+128</f>
        <v>8592</v>
      </c>
      <c r="H1952" s="50">
        <f>B1952</f>
        <v>3584</v>
      </c>
      <c r="I1952" s="50">
        <f>G1952+512+B1947*384</f>
        <v>9488</v>
      </c>
      <c r="J1952" s="50">
        <f>C1952</f>
        <v>3584</v>
      </c>
      <c r="K1952" s="50"/>
      <c r="L1952" s="50"/>
      <c r="M1952" s="50"/>
      <c r="N1952" s="50"/>
      <c r="O1952" s="50"/>
      <c r="P1952" s="49"/>
      <c r="Q1952" s="49"/>
      <c r="R1952" s="49"/>
      <c r="S1952" s="49"/>
      <c r="T1952" s="49"/>
      <c r="U1952" s="49"/>
      <c r="V1952" s="49"/>
      <c r="W1952" s="49"/>
      <c r="X1952" s="49"/>
      <c r="Y1952" s="49"/>
      <c r="Z1952" s="49"/>
      <c r="AA1952" s="49"/>
      <c r="AB1952" s="49"/>
      <c r="AC1952" s="49"/>
    </row>
    <row r="1953" spans="1:29">
      <c r="A1953" s="49"/>
      <c r="B1953" s="49"/>
      <c r="C1953" s="49"/>
      <c r="D1953" s="49">
        <v>7</v>
      </c>
      <c r="E1953" s="49" t="s">
        <v>5</v>
      </c>
      <c r="F1953" s="50">
        <f>C1945-192</f>
        <v>3392</v>
      </c>
      <c r="G1953" s="50">
        <f>G1944</f>
        <v>8064</v>
      </c>
      <c r="H1953" s="50">
        <f>C1945+192</f>
        <v>3776</v>
      </c>
      <c r="I1953" s="50">
        <f>I1944</f>
        <v>8448</v>
      </c>
      <c r="J1953" s="50"/>
      <c r="K1953" s="50"/>
      <c r="L1953" s="50"/>
      <c r="M1953" s="50"/>
      <c r="N1953" s="50"/>
      <c r="O1953" s="50"/>
      <c r="P1953" s="49"/>
      <c r="Q1953" s="49"/>
      <c r="R1953" s="49"/>
      <c r="S1953" s="49"/>
      <c r="T1953" s="49"/>
      <c r="U1953" s="49"/>
      <c r="V1953" s="49"/>
      <c r="W1953" s="49"/>
      <c r="X1953" s="49"/>
      <c r="Y1953" s="49"/>
      <c r="Z1953" s="49"/>
      <c r="AA1953" s="49"/>
      <c r="AB1953" s="49"/>
      <c r="AC1953" s="49"/>
    </row>
    <row r="1954" spans="1:29">
      <c r="A1954" s="12" t="s">
        <v>42</v>
      </c>
      <c r="B1954" s="14" t="s">
        <v>8</v>
      </c>
      <c r="C1954" s="49" t="s">
        <v>7</v>
      </c>
      <c r="D1954" s="49">
        <v>7</v>
      </c>
      <c r="E1954" s="49" t="s">
        <v>5</v>
      </c>
      <c r="F1954" s="50">
        <f>C1955+A1955*192</f>
        <v>7040</v>
      </c>
      <c r="G1954" s="50">
        <f>B1955</f>
        <v>8064</v>
      </c>
      <c r="H1954" s="50">
        <f>C1955-192*A1955</f>
        <v>6272</v>
      </c>
      <c r="I1954" s="50">
        <f>G1954+384*A1957</f>
        <v>8448</v>
      </c>
      <c r="J1954" s="50"/>
      <c r="K1954" s="50"/>
      <c r="L1954" s="50"/>
      <c r="M1954" s="50"/>
      <c r="N1954" s="50"/>
      <c r="O1954" s="50"/>
      <c r="P1954" s="49"/>
      <c r="Q1954" s="49"/>
      <c r="R1954" s="49"/>
      <c r="S1954" s="49"/>
      <c r="T1954" s="49"/>
      <c r="U1954" s="49"/>
      <c r="V1954" s="49"/>
      <c r="W1954" s="49"/>
      <c r="X1954" s="49"/>
      <c r="Y1954" s="49"/>
      <c r="Z1954" s="49"/>
      <c r="AA1954" s="49"/>
      <c r="AB1954" s="49"/>
      <c r="AC1954" s="49"/>
    </row>
    <row r="1955" spans="1:29">
      <c r="A1955" s="17">
        <v>2</v>
      </c>
      <c r="B1955" s="21">
        <f>B1935+6.25*256</f>
        <v>8064</v>
      </c>
      <c r="C1955" s="7">
        <f>C1935</f>
        <v>6656</v>
      </c>
      <c r="D1955" s="49">
        <f>ROUNDUP(6+F1955/2,0)</f>
        <v>8</v>
      </c>
      <c r="E1955" s="49" t="s">
        <v>6</v>
      </c>
      <c r="F1955" s="50">
        <f>LEN(G1955)</f>
        <v>3</v>
      </c>
      <c r="G1955" s="50" t="str">
        <f>"N="&amp;A1955</f>
        <v>N=2</v>
      </c>
      <c r="H1955" s="50">
        <f>C1955+192*A1955</f>
        <v>7040</v>
      </c>
      <c r="I1955" s="50">
        <f>B1955</f>
        <v>8064</v>
      </c>
      <c r="J1955" s="50"/>
      <c r="K1955" s="50"/>
      <c r="L1955" s="50"/>
      <c r="M1955" s="50"/>
      <c r="N1955" s="50"/>
      <c r="O1955" s="50"/>
      <c r="P1955" s="49"/>
      <c r="Q1955" s="49"/>
      <c r="R1955" s="49"/>
      <c r="S1955" s="49"/>
      <c r="T1955" s="49"/>
      <c r="U1955" s="49"/>
      <c r="V1955" s="49"/>
      <c r="W1955" s="49"/>
      <c r="X1955" s="49"/>
      <c r="Y1955" s="49"/>
      <c r="Z1955" s="49"/>
      <c r="AA1955" s="49"/>
      <c r="AB1955" s="49"/>
      <c r="AC1955" s="49"/>
    </row>
    <row r="1956" spans="1:29">
      <c r="A1956" s="17" t="s">
        <v>219</v>
      </c>
      <c r="B1956" s="17" t="s">
        <v>111</v>
      </c>
      <c r="C1956" s="49"/>
      <c r="D1956" s="49">
        <f>ROUNDUP(6+F1956/2,0)</f>
        <v>9</v>
      </c>
      <c r="E1956" s="49" t="s">
        <v>6</v>
      </c>
      <c r="F1956" s="50">
        <f>LEN(G1956)</f>
        <v>5</v>
      </c>
      <c r="G1956" s="50" t="s">
        <v>212</v>
      </c>
      <c r="H1956" s="50">
        <f>C1955-192*A1955-320</f>
        <v>5952</v>
      </c>
      <c r="I1956" s="50">
        <f>B1955</f>
        <v>8064</v>
      </c>
      <c r="J1956" s="50"/>
      <c r="K1956" s="50"/>
      <c r="L1956" s="50"/>
      <c r="M1956" s="50"/>
      <c r="N1956" s="50"/>
      <c r="O1956" s="50"/>
      <c r="P1956" s="49"/>
      <c r="Q1956" s="49"/>
      <c r="R1956" s="49"/>
      <c r="S1956" s="49"/>
      <c r="T1956" s="49"/>
      <c r="U1956" s="49"/>
      <c r="V1956" s="49"/>
      <c r="W1956" s="49"/>
      <c r="X1956" s="49"/>
      <c r="Y1956" s="49"/>
      <c r="Z1956" s="49"/>
      <c r="AA1956" s="49"/>
      <c r="AB1956" s="49"/>
      <c r="AC1956" s="49"/>
    </row>
    <row r="1957" spans="1:29">
      <c r="A1957" s="49">
        <v>1</v>
      </c>
      <c r="B1957" s="49">
        <v>0</v>
      </c>
      <c r="C1957" s="49"/>
      <c r="D1957" s="48">
        <v>4</v>
      </c>
      <c r="E1957" s="48" t="s">
        <v>15</v>
      </c>
      <c r="F1957" s="6">
        <v>2</v>
      </c>
      <c r="G1957" s="50"/>
      <c r="H1957" s="50"/>
      <c r="I1957" s="50"/>
      <c r="J1957" s="50"/>
      <c r="K1957" s="50"/>
      <c r="L1957" s="50"/>
      <c r="M1957" s="50"/>
      <c r="N1957" s="50"/>
      <c r="O1957" s="50"/>
      <c r="P1957" s="49"/>
      <c r="Q1957" s="49"/>
      <c r="R1957" s="49"/>
      <c r="S1957" s="49"/>
      <c r="T1957" s="49"/>
      <c r="U1957" s="49"/>
      <c r="V1957" s="49"/>
      <c r="W1957" s="49"/>
      <c r="X1957" s="49"/>
      <c r="Y1957" s="49"/>
      <c r="Z1957" s="49"/>
      <c r="AA1957" s="49"/>
      <c r="AB1957" s="49"/>
      <c r="AC1957" s="49"/>
    </row>
    <row r="1958" spans="1:29">
      <c r="A1958" s="49"/>
      <c r="B1958" s="49"/>
      <c r="C1958" s="49"/>
      <c r="D1958" s="48">
        <f>ROUNDUP(6+F1958/2,0)</f>
        <v>7</v>
      </c>
      <c r="E1958" s="48" t="s">
        <v>6</v>
      </c>
      <c r="F1958" s="6">
        <f>LEN(G1958)</f>
        <v>1</v>
      </c>
      <c r="G1958" s="41" t="s">
        <v>202</v>
      </c>
      <c r="H1958" s="6">
        <f>C1955-A1955*192-192</f>
        <v>6080</v>
      </c>
      <c r="I1958" s="6">
        <f>B1955</f>
        <v>8064</v>
      </c>
      <c r="J1958" s="50"/>
      <c r="K1958" s="50"/>
      <c r="L1958" s="50"/>
      <c r="M1958" s="50"/>
      <c r="N1958" s="50"/>
      <c r="O1958" s="50"/>
      <c r="P1958" s="49"/>
      <c r="Q1958" s="49"/>
      <c r="R1958" s="49"/>
      <c r="S1958" s="49"/>
      <c r="T1958" s="49"/>
      <c r="U1958" s="49"/>
      <c r="V1958" s="49"/>
      <c r="W1958" s="49"/>
      <c r="X1958" s="49"/>
      <c r="Y1958" s="49"/>
      <c r="Z1958" s="49"/>
      <c r="AA1958" s="49"/>
      <c r="AB1958" s="49"/>
      <c r="AC1958" s="49"/>
    </row>
    <row r="1959" spans="1:29">
      <c r="A1959" s="49"/>
      <c r="B1959" s="49"/>
      <c r="C1959" s="49"/>
      <c r="D1959" s="48">
        <f>ROUNDUP(6+F1959/2,0)</f>
        <v>7</v>
      </c>
      <c r="E1959" s="48" t="s">
        <v>6</v>
      </c>
      <c r="F1959" s="6">
        <f>LEN(G1959)</f>
        <v>2</v>
      </c>
      <c r="G1959" s="41" t="s">
        <v>201</v>
      </c>
      <c r="H1959" s="6">
        <f>H1958+384</f>
        <v>6464</v>
      </c>
      <c r="I1959" s="6">
        <f>I1958</f>
        <v>8064</v>
      </c>
      <c r="J1959" s="50"/>
      <c r="K1959" s="50"/>
      <c r="L1959" s="50"/>
      <c r="M1959" s="50"/>
      <c r="N1959" s="50"/>
      <c r="O1959" s="50"/>
      <c r="P1959" s="49"/>
      <c r="Q1959" s="49"/>
      <c r="R1959" s="49"/>
      <c r="S1959" s="49"/>
      <c r="T1959" s="49"/>
      <c r="U1959" s="49"/>
      <c r="V1959" s="49"/>
      <c r="W1959" s="49"/>
      <c r="X1959" s="49"/>
      <c r="Y1959" s="49"/>
      <c r="Z1959" s="49"/>
      <c r="AA1959" s="49"/>
      <c r="AB1959" s="49"/>
      <c r="AC1959" s="49"/>
    </row>
    <row r="1960" spans="1:29">
      <c r="A1960" s="49"/>
      <c r="B1960" s="49"/>
      <c r="C1960" s="49"/>
      <c r="D1960" s="48">
        <v>4</v>
      </c>
      <c r="E1960" s="48" t="s">
        <v>15</v>
      </c>
      <c r="F1960" s="6">
        <v>0</v>
      </c>
      <c r="G1960" s="50"/>
      <c r="H1960" s="50"/>
      <c r="I1960" s="50"/>
      <c r="J1960" s="50"/>
      <c r="K1960" s="50"/>
      <c r="L1960" s="50"/>
      <c r="M1960" s="50"/>
      <c r="N1960" s="50"/>
      <c r="O1960" s="50"/>
      <c r="P1960" s="49"/>
      <c r="Q1960" s="49"/>
      <c r="R1960" s="49"/>
      <c r="S1960" s="49"/>
      <c r="T1960" s="49"/>
      <c r="U1960" s="49"/>
      <c r="V1960" s="49"/>
      <c r="W1960" s="49"/>
      <c r="X1960" s="49"/>
      <c r="Y1960" s="49"/>
      <c r="Z1960" s="49"/>
      <c r="AA1960" s="49"/>
      <c r="AB1960" s="49"/>
      <c r="AC1960" s="49"/>
    </row>
    <row r="1961" spans="1:29">
      <c r="A1961" s="49">
        <f>B1955+784-384*B1957</f>
        <v>8848</v>
      </c>
      <c r="B1961" s="49">
        <f>C1955+256*B1964</f>
        <v>6656</v>
      </c>
      <c r="C1961" s="49">
        <f>B1961+1024*B1964</f>
        <v>6656</v>
      </c>
      <c r="D1961" s="49">
        <v>18</v>
      </c>
      <c r="E1961" s="49" t="s">
        <v>111</v>
      </c>
      <c r="F1961" s="50">
        <v>100</v>
      </c>
      <c r="G1961" s="50">
        <f>A1961+128</f>
        <v>8976</v>
      </c>
      <c r="H1961" s="50">
        <f>B1961</f>
        <v>6656</v>
      </c>
      <c r="I1961" s="50">
        <f>G1961+512+B1957*384</f>
        <v>9488</v>
      </c>
      <c r="J1961" s="50">
        <f>C1961</f>
        <v>6656</v>
      </c>
      <c r="K1961" s="50"/>
      <c r="L1961" s="50"/>
      <c r="M1961" s="50"/>
      <c r="N1961" s="50"/>
      <c r="O1961" s="50"/>
      <c r="P1961" s="49"/>
      <c r="Q1961" s="49"/>
      <c r="R1961" s="49"/>
      <c r="S1961" s="49"/>
      <c r="T1961" s="49"/>
      <c r="U1961" s="49"/>
      <c r="V1961" s="49"/>
      <c r="W1961" s="49"/>
      <c r="X1961" s="49"/>
      <c r="Y1961" s="49"/>
      <c r="Z1961" s="49"/>
      <c r="AA1961" s="49"/>
      <c r="AB1961" s="49"/>
      <c r="AC1961" s="49"/>
    </row>
    <row r="1962" spans="1:29">
      <c r="A1962" s="49">
        <f>A1961</f>
        <v>8848</v>
      </c>
      <c r="B1962" s="49">
        <f>C1955+256*C1964</f>
        <v>6144</v>
      </c>
      <c r="C1962" s="49">
        <f>B1962+1024*C1964</f>
        <v>4096</v>
      </c>
      <c r="D1962" s="49">
        <v>18</v>
      </c>
      <c r="E1962" s="49" t="s">
        <v>111</v>
      </c>
      <c r="F1962" s="50">
        <v>100</v>
      </c>
      <c r="G1962" s="50">
        <f>A1962+128</f>
        <v>8976</v>
      </c>
      <c r="H1962" s="50">
        <f>B1962</f>
        <v>6144</v>
      </c>
      <c r="I1962" s="50">
        <f>G1962+512+B1957*384</f>
        <v>9488</v>
      </c>
      <c r="J1962" s="50">
        <f>C1962</f>
        <v>4096</v>
      </c>
      <c r="K1962" s="50"/>
      <c r="L1962" s="50"/>
      <c r="M1962" s="50"/>
      <c r="N1962" s="50"/>
      <c r="O1962" s="50"/>
      <c r="P1962" s="49"/>
      <c r="Q1962" s="49"/>
      <c r="R1962" s="49"/>
      <c r="S1962" s="49"/>
      <c r="T1962" s="49"/>
      <c r="U1962" s="49"/>
      <c r="V1962" s="49"/>
      <c r="W1962" s="49"/>
      <c r="X1962" s="49"/>
      <c r="Y1962" s="49"/>
      <c r="Z1962" s="49"/>
      <c r="AA1962" s="49"/>
      <c r="AB1962" s="49"/>
      <c r="AC1962" s="49"/>
    </row>
    <row r="1963" spans="1:29">
      <c r="A1963" s="49" t="s">
        <v>8</v>
      </c>
      <c r="B1963" s="49" t="s">
        <v>221</v>
      </c>
      <c r="C1963" s="49" t="s">
        <v>222</v>
      </c>
      <c r="D1963" s="49">
        <f>ROUNDUP(6+F1963/2,0)</f>
        <v>8</v>
      </c>
      <c r="E1963" s="49" t="s">
        <v>6</v>
      </c>
      <c r="F1963" s="50">
        <f>LEN(G1963)</f>
        <v>3</v>
      </c>
      <c r="G1963" s="40" t="s">
        <v>215</v>
      </c>
      <c r="H1963" s="50">
        <f>H1961/2+J1961/2-IF(B1964,128,320)</f>
        <v>6336</v>
      </c>
      <c r="I1963" s="50">
        <f>G1961+128</f>
        <v>9104</v>
      </c>
      <c r="J1963" s="50"/>
      <c r="K1963" s="50"/>
      <c r="L1963" s="50"/>
      <c r="M1963" s="50"/>
      <c r="N1963" s="50"/>
      <c r="O1963" s="50"/>
      <c r="P1963" s="49"/>
      <c r="Q1963" s="49"/>
      <c r="R1963" s="49"/>
      <c r="S1963" s="49"/>
      <c r="T1963" s="49"/>
      <c r="U1963" s="49"/>
      <c r="V1963" s="49"/>
      <c r="W1963" s="49"/>
      <c r="X1963" s="49"/>
      <c r="Y1963" s="49"/>
      <c r="Z1963" s="49"/>
      <c r="AA1963" s="49"/>
      <c r="AB1963" s="49"/>
      <c r="AC1963" s="49"/>
    </row>
    <row r="1964" spans="1:29">
      <c r="A1964" s="49" t="s">
        <v>223</v>
      </c>
      <c r="B1964" s="49">
        <v>0</v>
      </c>
      <c r="C1964" s="49">
        <v>-2</v>
      </c>
      <c r="D1964" s="49">
        <f>ROUNDUP(6+F1964/2,0)</f>
        <v>8</v>
      </c>
      <c r="E1964" s="49" t="s">
        <v>6</v>
      </c>
      <c r="F1964" s="50">
        <f>LEN(G1964)</f>
        <v>3</v>
      </c>
      <c r="G1964" s="40" t="s">
        <v>215</v>
      </c>
      <c r="H1964" s="50">
        <f>H1962/2+J1962/2-IF(C1964,128,320)</f>
        <v>4992</v>
      </c>
      <c r="I1964" s="50">
        <f>G1962+128</f>
        <v>9104</v>
      </c>
      <c r="J1964" s="50"/>
      <c r="K1964" s="50"/>
      <c r="L1964" s="50"/>
      <c r="M1964" s="50"/>
      <c r="N1964" s="50"/>
      <c r="O1964" s="50"/>
      <c r="P1964" s="49"/>
      <c r="Q1964" s="49"/>
      <c r="R1964" s="49"/>
      <c r="S1964" s="49"/>
      <c r="T1964" s="49"/>
      <c r="U1964" s="49"/>
      <c r="V1964" s="49"/>
      <c r="W1964" s="49"/>
      <c r="X1964" s="49"/>
      <c r="Y1964" s="49"/>
      <c r="Z1964" s="49"/>
      <c r="AA1964" s="49"/>
      <c r="AB1964" s="49"/>
      <c r="AC1964" s="49"/>
    </row>
    <row r="1965" spans="1:29">
      <c r="A1965" s="49"/>
      <c r="B1965" s="49"/>
      <c r="C1965" s="49"/>
      <c r="D1965" s="49">
        <v>7</v>
      </c>
      <c r="E1965" s="49" t="s">
        <v>5</v>
      </c>
      <c r="F1965" s="50">
        <f>C1955</f>
        <v>6656</v>
      </c>
      <c r="G1965" s="50">
        <f>G1954</f>
        <v>8064</v>
      </c>
      <c r="H1965" s="50">
        <f>C1955+384</f>
        <v>7040</v>
      </c>
      <c r="I1965" s="50">
        <f>I1954+384</f>
        <v>8832</v>
      </c>
      <c r="J1965" s="50"/>
      <c r="K1965" s="50"/>
      <c r="L1965" s="50"/>
      <c r="M1965" s="50"/>
      <c r="N1965" s="50"/>
      <c r="O1965" s="50"/>
      <c r="P1965" s="49"/>
      <c r="Q1965" s="49"/>
      <c r="R1965" s="49"/>
      <c r="S1965" s="49"/>
      <c r="T1965" s="49"/>
      <c r="U1965" s="49"/>
      <c r="V1965" s="49"/>
      <c r="W1965" s="49"/>
      <c r="X1965" s="49"/>
      <c r="Y1965" s="49"/>
      <c r="Z1965" s="49"/>
      <c r="AA1965" s="49"/>
      <c r="AB1965" s="49"/>
      <c r="AC1965" s="49"/>
    </row>
    <row r="1966" spans="1:29">
      <c r="A1966" s="12" t="s">
        <v>42</v>
      </c>
      <c r="B1966" s="14" t="s">
        <v>8</v>
      </c>
      <c r="C1966" s="49" t="s">
        <v>7</v>
      </c>
      <c r="D1966" s="49">
        <v>7</v>
      </c>
      <c r="E1966" s="49" t="s">
        <v>5</v>
      </c>
      <c r="F1966" s="50">
        <f>C1967+A1967*192</f>
        <v>3968</v>
      </c>
      <c r="G1966" s="50">
        <f>B1967</f>
        <v>9664</v>
      </c>
      <c r="H1966" s="50">
        <f>C1967-192*A1967</f>
        <v>3200</v>
      </c>
      <c r="I1966" s="50">
        <f>G1966+384*A1969</f>
        <v>10048</v>
      </c>
      <c r="J1966" s="50"/>
      <c r="K1966" s="50"/>
      <c r="L1966" s="50"/>
      <c r="M1966" s="50"/>
      <c r="N1966" s="50"/>
      <c r="O1966" s="50"/>
      <c r="P1966" s="49"/>
      <c r="Q1966" s="49"/>
      <c r="R1966" s="49"/>
      <c r="S1966" s="49"/>
      <c r="T1966" s="49"/>
      <c r="U1966" s="49"/>
      <c r="V1966" s="49"/>
      <c r="W1966" s="49"/>
      <c r="X1966" s="49"/>
      <c r="Y1966" s="49"/>
      <c r="Z1966" s="49"/>
      <c r="AA1966" s="49"/>
      <c r="AB1966" s="49"/>
      <c r="AC1966" s="49"/>
    </row>
    <row r="1967" spans="1:29">
      <c r="A1967" s="17">
        <v>2</v>
      </c>
      <c r="B1967" s="22">
        <f>B1945+6.25*256</f>
        <v>9664</v>
      </c>
      <c r="C1967" s="7">
        <f>C1945</f>
        <v>3584</v>
      </c>
      <c r="D1967" s="49">
        <f>ROUNDUP(6+F1967/2,0)</f>
        <v>8</v>
      </c>
      <c r="E1967" s="49" t="s">
        <v>6</v>
      </c>
      <c r="F1967" s="50">
        <f>LEN(G1967)</f>
        <v>3</v>
      </c>
      <c r="G1967" s="50" t="str">
        <f>"N="&amp;A1967</f>
        <v>N=2</v>
      </c>
      <c r="H1967" s="50">
        <f>C1967+192*A1967</f>
        <v>3968</v>
      </c>
      <c r="I1967" s="50">
        <f>B1967</f>
        <v>9664</v>
      </c>
      <c r="J1967" s="50"/>
      <c r="K1967" s="50"/>
      <c r="L1967" s="50"/>
      <c r="M1967" s="50"/>
      <c r="N1967" s="50"/>
      <c r="O1967" s="50"/>
      <c r="P1967" s="49"/>
      <c r="Q1967" s="49"/>
      <c r="R1967" s="49"/>
      <c r="S1967" s="49"/>
      <c r="T1967" s="49"/>
      <c r="U1967" s="49"/>
      <c r="V1967" s="49"/>
      <c r="W1967" s="49"/>
      <c r="X1967" s="49"/>
      <c r="Y1967" s="49"/>
      <c r="Z1967" s="49"/>
      <c r="AA1967" s="49"/>
      <c r="AB1967" s="49"/>
      <c r="AC1967" s="49"/>
    </row>
    <row r="1968" spans="1:29">
      <c r="A1968" s="17" t="s">
        <v>219</v>
      </c>
      <c r="B1968" s="19" t="s">
        <v>111</v>
      </c>
      <c r="C1968" s="49"/>
      <c r="D1968" s="49">
        <f>ROUNDUP(6+F1968/2,0)</f>
        <v>8</v>
      </c>
      <c r="E1968" s="49" t="s">
        <v>6</v>
      </c>
      <c r="F1968" s="50">
        <f>LEN(G1968)</f>
        <v>3</v>
      </c>
      <c r="G1968" s="50" t="s">
        <v>211</v>
      </c>
      <c r="H1968" s="50">
        <f>C1967-192*A1967-320</f>
        <v>2880</v>
      </c>
      <c r="I1968" s="50">
        <f>B1967</f>
        <v>9664</v>
      </c>
      <c r="J1968" s="50"/>
      <c r="K1968" s="50"/>
      <c r="L1968" s="50"/>
      <c r="M1968" s="50"/>
      <c r="N1968" s="50"/>
      <c r="O1968" s="50"/>
      <c r="P1968" s="49"/>
      <c r="Q1968" s="49"/>
      <c r="R1968" s="49"/>
      <c r="S1968" s="49"/>
      <c r="T1968" s="49"/>
      <c r="U1968" s="49"/>
      <c r="V1968" s="49"/>
      <c r="W1968" s="49"/>
      <c r="X1968" s="49"/>
      <c r="Y1968" s="49"/>
      <c r="Z1968" s="49"/>
      <c r="AA1968" s="49"/>
      <c r="AB1968" s="49"/>
      <c r="AC1968" s="49"/>
    </row>
    <row r="1969" spans="1:29">
      <c r="A1969" s="49">
        <v>1</v>
      </c>
      <c r="B1969" s="49">
        <v>1</v>
      </c>
      <c r="C1969" s="49"/>
      <c r="D1969" s="48">
        <v>4</v>
      </c>
      <c r="E1969" s="48" t="s">
        <v>15</v>
      </c>
      <c r="F1969" s="6">
        <v>2</v>
      </c>
      <c r="G1969" s="50"/>
      <c r="H1969" s="50"/>
      <c r="I1969" s="50"/>
      <c r="J1969" s="50"/>
      <c r="K1969" s="50"/>
      <c r="L1969" s="50"/>
      <c r="M1969" s="50"/>
      <c r="N1969" s="50"/>
      <c r="O1969" s="50"/>
      <c r="P1969" s="49"/>
      <c r="Q1969" s="49"/>
      <c r="R1969" s="49"/>
      <c r="S1969" s="49"/>
      <c r="T1969" s="49"/>
      <c r="U1969" s="49"/>
      <c r="V1969" s="49"/>
      <c r="W1969" s="49"/>
      <c r="X1969" s="49"/>
      <c r="Y1969" s="49"/>
      <c r="Z1969" s="49"/>
      <c r="AA1969" s="49"/>
      <c r="AB1969" s="49"/>
      <c r="AC1969" s="49"/>
    </row>
    <row r="1970" spans="1:29">
      <c r="A1970" s="49"/>
      <c r="B1970" s="49"/>
      <c r="C1970" s="49"/>
      <c r="D1970" s="48">
        <f>ROUNDUP(6+F1970/2,0)</f>
        <v>7</v>
      </c>
      <c r="E1970" s="48" t="s">
        <v>6</v>
      </c>
      <c r="F1970" s="6">
        <f>LEN(G1970)</f>
        <v>1</v>
      </c>
      <c r="G1970" s="41" t="s">
        <v>202</v>
      </c>
      <c r="H1970" s="6">
        <f>C1967-A1967*192-192</f>
        <v>3008</v>
      </c>
      <c r="I1970" s="6">
        <f>B1967</f>
        <v>9664</v>
      </c>
      <c r="J1970" s="50"/>
      <c r="K1970" s="50"/>
      <c r="L1970" s="50"/>
      <c r="M1970" s="50"/>
      <c r="N1970" s="50"/>
      <c r="O1970" s="50"/>
      <c r="P1970" s="49"/>
      <c r="Q1970" s="49"/>
      <c r="R1970" s="49"/>
      <c r="S1970" s="49"/>
      <c r="T1970" s="49"/>
      <c r="U1970" s="49"/>
      <c r="V1970" s="49"/>
      <c r="W1970" s="49"/>
      <c r="X1970" s="49"/>
      <c r="Y1970" s="49"/>
      <c r="Z1970" s="49"/>
      <c r="AA1970" s="49"/>
      <c r="AB1970" s="49"/>
      <c r="AC1970" s="49"/>
    </row>
    <row r="1971" spans="1:29">
      <c r="A1971" s="49"/>
      <c r="B1971" s="49"/>
      <c r="C1971" s="49"/>
      <c r="D1971" s="48">
        <f>ROUNDUP(6+F1971/2,0)</f>
        <v>7</v>
      </c>
      <c r="E1971" s="48" t="s">
        <v>6</v>
      </c>
      <c r="F1971" s="6">
        <f>LEN(G1971)</f>
        <v>1</v>
      </c>
      <c r="G1971" s="41" t="s">
        <v>202</v>
      </c>
      <c r="H1971" s="6">
        <f>H1970+384</f>
        <v>3392</v>
      </c>
      <c r="I1971" s="6">
        <f>I1970</f>
        <v>9664</v>
      </c>
      <c r="J1971" s="50"/>
      <c r="K1971" s="50"/>
      <c r="L1971" s="50"/>
      <c r="M1971" s="50"/>
      <c r="N1971" s="50"/>
      <c r="O1971" s="50"/>
      <c r="P1971" s="49"/>
      <c r="Q1971" s="49"/>
      <c r="R1971" s="49"/>
      <c r="S1971" s="49"/>
      <c r="T1971" s="49"/>
      <c r="U1971" s="49"/>
      <c r="V1971" s="49"/>
      <c r="W1971" s="49"/>
      <c r="X1971" s="49"/>
      <c r="Y1971" s="49"/>
      <c r="Z1971" s="49"/>
      <c r="AA1971" s="49"/>
      <c r="AB1971" s="49"/>
      <c r="AC1971" s="49"/>
    </row>
    <row r="1972" spans="1:29">
      <c r="A1972" s="49" t="s">
        <v>223</v>
      </c>
      <c r="B1972" s="49">
        <v>1</v>
      </c>
      <c r="C1972" s="49"/>
      <c r="D1972" s="48">
        <v>4</v>
      </c>
      <c r="E1972" s="48" t="s">
        <v>15</v>
      </c>
      <c r="F1972" s="6">
        <v>0</v>
      </c>
      <c r="G1972" s="50"/>
      <c r="H1972" s="50"/>
      <c r="I1972" s="50"/>
      <c r="J1972" s="50"/>
      <c r="K1972" s="50"/>
      <c r="L1972" s="50"/>
      <c r="M1972" s="50"/>
      <c r="N1972" s="50"/>
      <c r="O1972" s="50"/>
      <c r="P1972" s="49"/>
      <c r="Q1972" s="49"/>
      <c r="R1972" s="49"/>
      <c r="S1972" s="49"/>
      <c r="T1972" s="49"/>
      <c r="U1972" s="49"/>
      <c r="V1972" s="49"/>
      <c r="W1972" s="49"/>
      <c r="X1972" s="49"/>
      <c r="Y1972" s="49"/>
      <c r="Z1972" s="49"/>
      <c r="AA1972" s="49"/>
      <c r="AB1972" s="49"/>
      <c r="AC1972" s="49"/>
    </row>
    <row r="1973" spans="1:29">
      <c r="A1973" s="49">
        <f>B1967+784-384*B1969</f>
        <v>10064</v>
      </c>
      <c r="B1973" s="49">
        <f>C1967+256*B1972</f>
        <v>3840</v>
      </c>
      <c r="C1973" s="49">
        <f>B1973+1024*B1972</f>
        <v>4864</v>
      </c>
      <c r="D1973" s="49">
        <v>18</v>
      </c>
      <c r="E1973" s="49" t="s">
        <v>111</v>
      </c>
      <c r="F1973" s="50">
        <v>100</v>
      </c>
      <c r="G1973" s="50">
        <f>A1973+128</f>
        <v>10192</v>
      </c>
      <c r="H1973" s="50">
        <f>B1973</f>
        <v>3840</v>
      </c>
      <c r="I1973" s="50">
        <f>G1973+512+B1969*384</f>
        <v>11088</v>
      </c>
      <c r="J1973" s="50">
        <f>C1973</f>
        <v>4864</v>
      </c>
      <c r="K1973" s="50"/>
      <c r="L1973" s="50"/>
      <c r="M1973" s="50"/>
      <c r="N1973" s="50"/>
      <c r="O1973" s="50"/>
      <c r="P1973" s="49"/>
      <c r="Q1973" s="49"/>
      <c r="R1973" s="49"/>
      <c r="S1973" s="49"/>
      <c r="T1973" s="49"/>
      <c r="U1973" s="49"/>
      <c r="V1973" s="49"/>
      <c r="W1973" s="49"/>
      <c r="X1973" s="49"/>
      <c r="Y1973" s="49"/>
      <c r="Z1973" s="49"/>
      <c r="AA1973" s="49"/>
      <c r="AB1973" s="49"/>
      <c r="AC1973" s="49"/>
    </row>
    <row r="1974" spans="1:29">
      <c r="A1974" s="49"/>
      <c r="B1974" s="49"/>
      <c r="C1974" s="49"/>
      <c r="D1974" s="49">
        <v>7</v>
      </c>
      <c r="E1974" s="49" t="s">
        <v>5</v>
      </c>
      <c r="F1974" s="50">
        <f>C1967</f>
        <v>3584</v>
      </c>
      <c r="G1974" s="50">
        <f>G1966</f>
        <v>9664</v>
      </c>
      <c r="H1974" s="50">
        <f>C1967+384</f>
        <v>3968</v>
      </c>
      <c r="I1974" s="50">
        <f>I1966</f>
        <v>10048</v>
      </c>
      <c r="J1974" s="50"/>
      <c r="K1974" s="50"/>
      <c r="L1974" s="50"/>
      <c r="M1974" s="50"/>
      <c r="N1974" s="50"/>
      <c r="O1974" s="50"/>
      <c r="P1974" s="49"/>
      <c r="Q1974" s="49"/>
      <c r="R1974" s="49"/>
      <c r="S1974" s="49"/>
      <c r="T1974" s="49"/>
      <c r="U1974" s="49"/>
      <c r="V1974" s="49"/>
      <c r="W1974" s="49"/>
      <c r="X1974" s="49"/>
      <c r="Y1974" s="49"/>
      <c r="Z1974" s="49"/>
      <c r="AA1974" s="49"/>
      <c r="AB1974" s="49"/>
      <c r="AC1974" s="49"/>
    </row>
    <row r="1975" spans="1:29">
      <c r="A1975" s="14" t="s">
        <v>42</v>
      </c>
      <c r="B1975" s="14" t="s">
        <v>8</v>
      </c>
      <c r="C1975" s="49" t="s">
        <v>7</v>
      </c>
      <c r="D1975" s="49">
        <v>7</v>
      </c>
      <c r="E1975" s="49" t="s">
        <v>5</v>
      </c>
      <c r="F1975" s="50">
        <f>C1976+A1976*192</f>
        <v>6848</v>
      </c>
      <c r="G1975" s="50">
        <f>B1976</f>
        <v>9664</v>
      </c>
      <c r="H1975" s="50">
        <f>C1976-192*A1976</f>
        <v>6464</v>
      </c>
      <c r="I1975" s="50">
        <f>G1975+384*A1978</f>
        <v>10432</v>
      </c>
      <c r="J1975" s="50"/>
      <c r="K1975" s="50"/>
      <c r="L1975" s="50"/>
      <c r="M1975" s="50"/>
      <c r="N1975" s="50"/>
      <c r="O1975" s="50"/>
      <c r="P1975" s="49"/>
      <c r="Q1975" s="49"/>
      <c r="R1975" s="49"/>
      <c r="S1975" s="49"/>
      <c r="T1975" s="49"/>
      <c r="U1975" s="49"/>
      <c r="V1975" s="49"/>
      <c r="W1975" s="49"/>
      <c r="X1975" s="49"/>
      <c r="Y1975" s="49"/>
      <c r="Z1975" s="49"/>
      <c r="AA1975" s="49"/>
      <c r="AB1975" s="49"/>
      <c r="AC1975" s="49"/>
    </row>
    <row r="1976" spans="1:29">
      <c r="A1976" s="14">
        <v>1</v>
      </c>
      <c r="B1976" s="15">
        <f>B1955+6.25*256</f>
        <v>9664</v>
      </c>
      <c r="C1976" s="7">
        <f>C1955</f>
        <v>6656</v>
      </c>
      <c r="D1976" s="49">
        <f>ROUNDUP(6+F1976/2,0)</f>
        <v>8</v>
      </c>
      <c r="E1976" s="49" t="s">
        <v>6</v>
      </c>
      <c r="F1976" s="50">
        <f>LEN(G1976)</f>
        <v>3</v>
      </c>
      <c r="G1976" s="50" t="str">
        <f>"N="&amp;A1976</f>
        <v>N=1</v>
      </c>
      <c r="H1976" s="50">
        <f>C1976+192*A1976</f>
        <v>6848</v>
      </c>
      <c r="I1976" s="50">
        <f>B1976</f>
        <v>9664</v>
      </c>
      <c r="J1976" s="50"/>
      <c r="K1976" s="50"/>
      <c r="L1976" s="50"/>
      <c r="M1976" s="50"/>
      <c r="N1976" s="50"/>
      <c r="O1976" s="50"/>
      <c r="P1976" s="49"/>
      <c r="Q1976" s="49"/>
      <c r="R1976" s="49"/>
      <c r="S1976" s="49"/>
      <c r="T1976" s="49"/>
      <c r="U1976" s="49"/>
      <c r="V1976" s="49"/>
      <c r="W1976" s="49"/>
      <c r="X1976" s="49"/>
      <c r="Y1976" s="49"/>
      <c r="Z1976" s="49"/>
      <c r="AA1976" s="49"/>
      <c r="AB1976" s="49"/>
      <c r="AC1976" s="49"/>
    </row>
    <row r="1977" spans="1:29">
      <c r="A1977" s="17" t="s">
        <v>219</v>
      </c>
      <c r="B1977" s="17" t="s">
        <v>111</v>
      </c>
      <c r="C1977" s="49"/>
      <c r="D1977" s="49">
        <f>ROUNDUP(6+F1977/2,0)</f>
        <v>8</v>
      </c>
      <c r="E1977" s="49" t="s">
        <v>6</v>
      </c>
      <c r="F1977" s="50">
        <f>LEN(G1977)</f>
        <v>3</v>
      </c>
      <c r="G1977" s="50" t="s">
        <v>214</v>
      </c>
      <c r="H1977" s="50">
        <f>C1976-192*A1976-320</f>
        <v>6144</v>
      </c>
      <c r="I1977" s="50">
        <f>B1976</f>
        <v>9664</v>
      </c>
      <c r="J1977" s="50"/>
      <c r="K1977" s="50"/>
      <c r="L1977" s="50"/>
      <c r="M1977" s="50"/>
      <c r="N1977" s="50"/>
      <c r="O1977" s="50"/>
      <c r="P1977" s="49"/>
      <c r="Q1977" s="49"/>
      <c r="R1977" s="49"/>
      <c r="S1977" s="49"/>
      <c r="T1977" s="49"/>
      <c r="U1977" s="49"/>
      <c r="V1977" s="49"/>
      <c r="W1977" s="49"/>
      <c r="X1977" s="49"/>
      <c r="Y1977" s="49"/>
      <c r="Z1977" s="49"/>
      <c r="AA1977" s="49"/>
      <c r="AB1977" s="49"/>
      <c r="AC1977" s="49"/>
    </row>
    <row r="1978" spans="1:29">
      <c r="A1978" s="49">
        <v>2</v>
      </c>
      <c r="B1978" s="49">
        <v>0</v>
      </c>
      <c r="C1978" s="49"/>
      <c r="D1978" s="48">
        <v>4</v>
      </c>
      <c r="E1978" s="48" t="s">
        <v>15</v>
      </c>
      <c r="F1978" s="6">
        <v>2</v>
      </c>
      <c r="G1978" s="50"/>
      <c r="H1978" s="50"/>
      <c r="I1978" s="50"/>
      <c r="J1978" s="50"/>
      <c r="K1978" s="50"/>
      <c r="L1978" s="50"/>
      <c r="M1978" s="50"/>
      <c r="N1978" s="50"/>
      <c r="O1978" s="50"/>
      <c r="P1978" s="49"/>
      <c r="Q1978" s="49"/>
      <c r="R1978" s="49"/>
      <c r="S1978" s="49"/>
      <c r="T1978" s="49"/>
      <c r="U1978" s="49"/>
      <c r="V1978" s="49"/>
      <c r="W1978" s="49"/>
      <c r="X1978" s="49"/>
      <c r="Y1978" s="49"/>
      <c r="Z1978" s="49"/>
      <c r="AA1978" s="49"/>
      <c r="AB1978" s="49"/>
      <c r="AC1978" s="49"/>
    </row>
    <row r="1979" spans="1:29">
      <c r="A1979" s="49"/>
      <c r="B1979" s="49"/>
      <c r="C1979" s="49"/>
      <c r="D1979" s="48">
        <f>ROUNDUP(6+F1979/2,0)</f>
        <v>7</v>
      </c>
      <c r="E1979" s="48" t="s">
        <v>6</v>
      </c>
      <c r="F1979" s="6">
        <f>LEN(G1979)</f>
        <v>2</v>
      </c>
      <c r="G1979" s="41" t="s">
        <v>201</v>
      </c>
      <c r="H1979" s="6">
        <f>C1976-A1976*192-192</f>
        <v>6272</v>
      </c>
      <c r="I1979" s="6">
        <f>B1976</f>
        <v>9664</v>
      </c>
      <c r="J1979" s="50"/>
      <c r="K1979" s="50"/>
      <c r="L1979" s="50"/>
      <c r="M1979" s="50"/>
      <c r="N1979" s="50"/>
      <c r="O1979" s="50"/>
      <c r="P1979" s="49"/>
      <c r="Q1979" s="49"/>
      <c r="R1979" s="49"/>
      <c r="S1979" s="49"/>
      <c r="T1979" s="49"/>
      <c r="U1979" s="49"/>
      <c r="V1979" s="49"/>
      <c r="W1979" s="49"/>
      <c r="X1979" s="49"/>
      <c r="Y1979" s="49"/>
      <c r="Z1979" s="49"/>
      <c r="AA1979" s="49"/>
      <c r="AB1979" s="49"/>
      <c r="AC1979" s="49"/>
    </row>
    <row r="1980" spans="1:29">
      <c r="A1980" s="49" t="s">
        <v>223</v>
      </c>
      <c r="B1980" s="49">
        <v>-1</v>
      </c>
      <c r="C1980" s="49"/>
      <c r="D1980" s="48">
        <v>4</v>
      </c>
      <c r="E1980" s="48" t="s">
        <v>15</v>
      </c>
      <c r="F1980" s="6">
        <v>0</v>
      </c>
      <c r="G1980" s="50"/>
      <c r="H1980" s="50"/>
      <c r="I1980" s="50"/>
      <c r="J1980" s="50"/>
      <c r="K1980" s="50"/>
      <c r="L1980" s="50"/>
      <c r="M1980" s="50"/>
      <c r="N1980" s="50"/>
      <c r="O1980" s="50"/>
      <c r="P1980" s="49"/>
      <c r="Q1980" s="49"/>
      <c r="R1980" s="49"/>
      <c r="S1980" s="49"/>
      <c r="T1980" s="49"/>
      <c r="U1980" s="49"/>
      <c r="V1980" s="49"/>
      <c r="W1980" s="49"/>
      <c r="X1980" s="49"/>
      <c r="Y1980" s="49"/>
      <c r="Z1980" s="49"/>
      <c r="AA1980" s="49"/>
      <c r="AB1980" s="49"/>
      <c r="AC1980" s="49"/>
    </row>
    <row r="1981" spans="1:29">
      <c r="A1981" s="49">
        <f>B1976+784-384*B1978</f>
        <v>10448</v>
      </c>
      <c r="B1981" s="49">
        <f>C1976+256*B1980</f>
        <v>6400</v>
      </c>
      <c r="C1981" s="49">
        <f>B1981+1024*B1980</f>
        <v>5376</v>
      </c>
      <c r="D1981" s="49">
        <v>18</v>
      </c>
      <c r="E1981" s="49" t="s">
        <v>111</v>
      </c>
      <c r="F1981" s="50">
        <v>100</v>
      </c>
      <c r="G1981" s="50">
        <f>A1981+128</f>
        <v>10576</v>
      </c>
      <c r="H1981" s="50">
        <f>B1981</f>
        <v>6400</v>
      </c>
      <c r="I1981" s="50">
        <f>G1981+512+B1978*384</f>
        <v>11088</v>
      </c>
      <c r="J1981" s="50">
        <f>C1981</f>
        <v>5376</v>
      </c>
      <c r="K1981" s="50"/>
      <c r="L1981" s="50"/>
      <c r="M1981" s="50"/>
      <c r="N1981" s="50"/>
      <c r="O1981" s="50"/>
      <c r="P1981" s="49"/>
      <c r="Q1981" s="49"/>
      <c r="R1981" s="49"/>
      <c r="S1981" s="49"/>
      <c r="T1981" s="49"/>
      <c r="U1981" s="49"/>
      <c r="V1981" s="49"/>
      <c r="W1981" s="49"/>
      <c r="X1981" s="49"/>
      <c r="Y1981" s="49"/>
      <c r="Z1981" s="49"/>
      <c r="AA1981" s="49"/>
      <c r="AB1981" s="49"/>
      <c r="AC1981" s="49"/>
    </row>
    <row r="1982" spans="1:29">
      <c r="A1982" s="49"/>
      <c r="B1982" s="49"/>
      <c r="C1982" s="49"/>
      <c r="D1982" s="49">
        <v>7</v>
      </c>
      <c r="E1982" s="49" t="s">
        <v>5</v>
      </c>
      <c r="F1982" s="50">
        <f>F1975</f>
        <v>6848</v>
      </c>
      <c r="G1982" s="50">
        <f>G1975</f>
        <v>9664</v>
      </c>
      <c r="H1982" s="50">
        <f>H1975</f>
        <v>6464</v>
      </c>
      <c r="I1982" s="50">
        <f>G1982+384</f>
        <v>10048</v>
      </c>
      <c r="J1982" s="50"/>
      <c r="K1982" s="50"/>
      <c r="L1982" s="50"/>
      <c r="M1982" s="50"/>
      <c r="N1982" s="50"/>
      <c r="O1982" s="50"/>
      <c r="P1982" s="49"/>
      <c r="Q1982" s="49"/>
      <c r="R1982" s="49"/>
      <c r="S1982" s="49"/>
      <c r="T1982" s="49"/>
      <c r="U1982" s="49"/>
      <c r="V1982" s="49"/>
      <c r="W1982" s="49"/>
      <c r="X1982" s="49"/>
      <c r="Y1982" s="49"/>
      <c r="Z1982" s="49"/>
      <c r="AA1982" s="49"/>
      <c r="AB1982" s="49"/>
      <c r="AC1982" s="49"/>
    </row>
    <row r="1983" spans="1:29">
      <c r="A1983" s="14" t="s">
        <v>42</v>
      </c>
      <c r="B1983" s="14" t="s">
        <v>8</v>
      </c>
      <c r="C1983" s="49" t="s">
        <v>7</v>
      </c>
      <c r="D1983" s="49">
        <v>7</v>
      </c>
      <c r="E1983" s="49" t="s">
        <v>5</v>
      </c>
      <c r="F1983" s="50">
        <f>C1984+A1984*192</f>
        <v>5312</v>
      </c>
      <c r="G1983" s="50">
        <f>B1984</f>
        <v>11264</v>
      </c>
      <c r="H1983" s="50">
        <f>C1984-192*A1984</f>
        <v>4928</v>
      </c>
      <c r="I1983" s="50">
        <f>G1983+384*A1986</f>
        <v>11648</v>
      </c>
      <c r="J1983" s="50"/>
      <c r="K1983" s="50"/>
      <c r="L1983" s="50"/>
      <c r="M1983" s="50"/>
      <c r="N1983" s="50"/>
      <c r="O1983" s="50"/>
      <c r="P1983" s="49"/>
      <c r="Q1983" s="49"/>
      <c r="R1983" s="49"/>
      <c r="S1983" s="49"/>
      <c r="T1983" s="49"/>
      <c r="U1983" s="49"/>
      <c r="V1983" s="49"/>
      <c r="W1983" s="49"/>
      <c r="X1983" s="49"/>
      <c r="Y1983" s="49"/>
      <c r="Z1983" s="49"/>
      <c r="AA1983" s="49"/>
      <c r="AB1983" s="49"/>
      <c r="AC1983" s="49"/>
    </row>
    <row r="1984" spans="1:29">
      <c r="A1984" s="14">
        <v>1</v>
      </c>
      <c r="B1984" s="15">
        <f>B1976+6.25*256</f>
        <v>11264</v>
      </c>
      <c r="C1984" s="7">
        <f>C1976-1536</f>
        <v>5120</v>
      </c>
      <c r="D1984" s="49">
        <f>ROUNDUP(6+F1984/2,0)</f>
        <v>8</v>
      </c>
      <c r="E1984" s="49" t="s">
        <v>6</v>
      </c>
      <c r="F1984" s="50">
        <f>LEN(G1984)</f>
        <v>3</v>
      </c>
      <c r="G1984" s="50" t="str">
        <f>"N="&amp;A1984</f>
        <v>N=1</v>
      </c>
      <c r="H1984" s="50">
        <f>C1984+192*A1984</f>
        <v>5312</v>
      </c>
      <c r="I1984" s="50">
        <f>B1984</f>
        <v>11264</v>
      </c>
      <c r="J1984" s="50"/>
      <c r="K1984" s="50"/>
      <c r="L1984" s="50"/>
      <c r="M1984" s="50"/>
      <c r="N1984" s="50"/>
      <c r="O1984" s="50"/>
      <c r="P1984" s="49"/>
      <c r="Q1984" s="49"/>
      <c r="R1984" s="49"/>
      <c r="S1984" s="49"/>
      <c r="T1984" s="49"/>
      <c r="U1984" s="49"/>
      <c r="V1984" s="49"/>
      <c r="W1984" s="49"/>
      <c r="X1984" s="49"/>
      <c r="Y1984" s="49"/>
      <c r="Z1984" s="49"/>
      <c r="AA1984" s="49"/>
      <c r="AB1984" s="49"/>
      <c r="AC1984" s="49"/>
    </row>
    <row r="1985" spans="1:29">
      <c r="A1985" s="17" t="s">
        <v>219</v>
      </c>
      <c r="B1985" s="14" t="s">
        <v>111</v>
      </c>
      <c r="C1985" s="49"/>
      <c r="D1985" s="49">
        <f>ROUNDUP(6+F1985/2,0)</f>
        <v>8</v>
      </c>
      <c r="E1985" s="49" t="s">
        <v>6</v>
      </c>
      <c r="F1985" s="50">
        <f>LEN(G1985)</f>
        <v>3</v>
      </c>
      <c r="G1985" s="50" t="s">
        <v>210</v>
      </c>
      <c r="H1985" s="50">
        <f>C1984-192*A1984-320</f>
        <v>4608</v>
      </c>
      <c r="I1985" s="50">
        <f>B1984</f>
        <v>11264</v>
      </c>
      <c r="J1985" s="50"/>
      <c r="K1985" s="50"/>
      <c r="L1985" s="50"/>
      <c r="M1985" s="50"/>
      <c r="N1985" s="50"/>
      <c r="O1985" s="50"/>
      <c r="P1985" s="49"/>
      <c r="Q1985" s="49"/>
      <c r="R1985" s="49"/>
      <c r="S1985" s="49"/>
      <c r="T1985" s="49"/>
      <c r="U1985" s="49"/>
      <c r="V1985" s="49"/>
      <c r="W1985" s="49"/>
      <c r="X1985" s="49"/>
      <c r="Y1985" s="49"/>
      <c r="Z1985" s="49"/>
      <c r="AA1985" s="49"/>
      <c r="AB1985" s="49"/>
      <c r="AC1985" s="49"/>
    </row>
    <row r="1986" spans="1:29">
      <c r="A1986" s="49">
        <v>1</v>
      </c>
      <c r="B1986" s="49">
        <v>0</v>
      </c>
      <c r="C1986" s="49"/>
      <c r="D1986" s="48">
        <v>4</v>
      </c>
      <c r="E1986" s="48" t="s">
        <v>15</v>
      </c>
      <c r="F1986" s="6">
        <v>2</v>
      </c>
      <c r="G1986" s="50"/>
      <c r="H1986" s="50"/>
      <c r="I1986" s="50"/>
      <c r="J1986" s="50"/>
      <c r="K1986" s="50"/>
      <c r="L1986" s="50"/>
      <c r="M1986" s="50"/>
      <c r="N1986" s="50"/>
      <c r="O1986" s="50"/>
      <c r="P1986" s="49"/>
      <c r="Q1986" s="49"/>
      <c r="R1986" s="49"/>
      <c r="S1986" s="49"/>
      <c r="T1986" s="49"/>
      <c r="U1986" s="49"/>
      <c r="V1986" s="49"/>
      <c r="W1986" s="49"/>
      <c r="X1986" s="49"/>
      <c r="Y1986" s="49"/>
      <c r="Z1986" s="49"/>
      <c r="AA1986" s="49"/>
      <c r="AB1986" s="49"/>
      <c r="AC1986" s="49"/>
    </row>
    <row r="1987" spans="1:29">
      <c r="A1987" s="49"/>
      <c r="B1987" s="49"/>
      <c r="C1987" s="49"/>
      <c r="D1987" s="48">
        <f>ROUNDUP(6+F1987/2,0)</f>
        <v>7</v>
      </c>
      <c r="E1987" s="48" t="s">
        <v>6</v>
      </c>
      <c r="F1987" s="6">
        <f>LEN(G1987)</f>
        <v>1</v>
      </c>
      <c r="G1987" s="41" t="s">
        <v>202</v>
      </c>
      <c r="H1987" s="6">
        <f>C1984-A1984*192-192</f>
        <v>4736</v>
      </c>
      <c r="I1987" s="6">
        <f>B1984</f>
        <v>11264</v>
      </c>
      <c r="J1987" s="50"/>
      <c r="K1987" s="50"/>
      <c r="L1987" s="50"/>
      <c r="M1987" s="50"/>
      <c r="N1987" s="50"/>
      <c r="O1987" s="50"/>
      <c r="P1987" s="49"/>
      <c r="Q1987" s="49"/>
      <c r="R1987" s="49"/>
      <c r="S1987" s="49"/>
      <c r="T1987" s="49"/>
      <c r="U1987" s="49"/>
      <c r="V1987" s="49"/>
      <c r="W1987" s="49"/>
      <c r="X1987" s="49"/>
      <c r="Y1987" s="49"/>
      <c r="Z1987" s="49"/>
      <c r="AA1987" s="49"/>
      <c r="AB1987" s="49"/>
      <c r="AC1987" s="49"/>
    </row>
    <row r="1988" spans="1:29">
      <c r="A1988" s="49"/>
      <c r="B1988" s="49"/>
      <c r="C1988" s="49"/>
      <c r="D1988" s="48">
        <v>4</v>
      </c>
      <c r="E1988" s="48" t="s">
        <v>15</v>
      </c>
      <c r="F1988" s="6">
        <v>0</v>
      </c>
      <c r="G1988" s="41"/>
      <c r="J1988" s="50"/>
      <c r="K1988" s="50"/>
      <c r="L1988" s="50"/>
      <c r="M1988" s="50"/>
      <c r="N1988" s="50"/>
      <c r="O1988" s="50"/>
      <c r="P1988" s="49"/>
      <c r="Q1988" s="49"/>
      <c r="R1988" s="49"/>
      <c r="S1988" s="49"/>
      <c r="T1988" s="49"/>
      <c r="U1988" s="49"/>
      <c r="V1988" s="49"/>
      <c r="W1988" s="49"/>
      <c r="X1988" s="49"/>
      <c r="Y1988" s="49"/>
      <c r="Z1988" s="49"/>
      <c r="AA1988" s="49"/>
      <c r="AB1988" s="49"/>
      <c r="AC1988" s="49"/>
    </row>
    <row r="1989" spans="1:29">
      <c r="A1989" s="49"/>
      <c r="B1989" s="49"/>
      <c r="C1989" s="49"/>
      <c r="D1989" s="48">
        <v>4</v>
      </c>
      <c r="E1989" s="48" t="s">
        <v>15</v>
      </c>
      <c r="F1989" s="6">
        <v>8</v>
      </c>
      <c r="G1989" s="50"/>
      <c r="H1989" s="50"/>
      <c r="I1989" s="50"/>
      <c r="J1989" s="50"/>
      <c r="K1989" s="50"/>
      <c r="L1989" s="50"/>
      <c r="M1989" s="50"/>
      <c r="N1989" s="50"/>
      <c r="O1989" s="50"/>
      <c r="P1989" s="49"/>
      <c r="Q1989" s="49"/>
      <c r="R1989" s="49"/>
      <c r="S1989" s="49"/>
      <c r="T1989" s="49"/>
      <c r="U1989" s="49"/>
      <c r="V1989" s="49"/>
      <c r="W1989" s="49"/>
      <c r="X1989" s="49"/>
      <c r="Y1989" s="49"/>
      <c r="Z1989" s="49"/>
      <c r="AA1989" s="49"/>
      <c r="AB1989" s="49"/>
      <c r="AC1989" s="49"/>
    </row>
    <row r="1990" spans="1:29">
      <c r="A1990" s="48"/>
      <c r="B1990" s="48"/>
      <c r="C1990" s="48"/>
      <c r="D1990" s="48"/>
      <c r="E1990" s="48" t="s">
        <v>113</v>
      </c>
      <c r="F1990" s="6">
        <v>200</v>
      </c>
      <c r="G1990" s="50">
        <v>500</v>
      </c>
      <c r="H1990" s="50">
        <v>9800</v>
      </c>
      <c r="I1990" s="50">
        <f>G1990+4000</f>
        <v>4500</v>
      </c>
      <c r="J1990" s="50">
        <f>H1990-2000</f>
        <v>7800</v>
      </c>
      <c r="K1990" s="50" t="s">
        <v>22</v>
      </c>
      <c r="L1990" s="50">
        <v>8</v>
      </c>
      <c r="M1990" s="49"/>
      <c r="N1990" s="49">
        <f>COUNT(S1990:CA1990)</f>
        <v>9</v>
      </c>
      <c r="O1990" s="49"/>
      <c r="P1990" s="49"/>
      <c r="Q1990" s="49">
        <v>8</v>
      </c>
      <c r="R1990" s="49"/>
      <c r="S1990" s="49">
        <v>0</v>
      </c>
      <c r="T1990" s="49">
        <v>0</v>
      </c>
      <c r="U1990" s="48">
        <v>2</v>
      </c>
      <c r="V1990" s="49">
        <v>2</v>
      </c>
      <c r="W1990" s="49">
        <v>3</v>
      </c>
      <c r="X1990" s="49">
        <v>3</v>
      </c>
      <c r="Y1990" s="49">
        <v>6</v>
      </c>
      <c r="Z1990" s="49">
        <v>6</v>
      </c>
      <c r="AA1990" s="49">
        <v>8</v>
      </c>
      <c r="AB1990" s="49"/>
      <c r="AC1990" s="49"/>
    </row>
    <row r="1991" spans="1:29">
      <c r="A1991" s="48"/>
      <c r="B1991" s="48"/>
      <c r="C1991" s="48"/>
      <c r="D1991" s="48">
        <v>4</v>
      </c>
      <c r="E1991" s="48" t="s">
        <v>15</v>
      </c>
      <c r="F1991" s="6">
        <v>8</v>
      </c>
      <c r="G1991" s="50"/>
      <c r="H1991" s="50"/>
      <c r="I1991" s="50"/>
      <c r="J1991" s="50"/>
      <c r="K1991" s="50" t="s">
        <v>227</v>
      </c>
      <c r="L1991" s="50">
        <v>4</v>
      </c>
      <c r="M1991" s="49"/>
      <c r="N1991" s="48"/>
      <c r="O1991" s="49"/>
      <c r="P1991" s="49"/>
      <c r="Q1991" s="50">
        <v>6</v>
      </c>
      <c r="R1991" s="49"/>
      <c r="S1991" s="49">
        <v>0</v>
      </c>
      <c r="T1991" s="49">
        <v>1</v>
      </c>
      <c r="U1991" s="48">
        <v>1</v>
      </c>
      <c r="V1991" s="49">
        <v>2</v>
      </c>
      <c r="W1991" s="49">
        <v>2</v>
      </c>
      <c r="X1991" s="49">
        <v>3</v>
      </c>
      <c r="Y1991" s="49">
        <v>3</v>
      </c>
      <c r="Z1991" s="49">
        <v>4</v>
      </c>
      <c r="AA1991" s="49">
        <v>4</v>
      </c>
      <c r="AB1991" s="49"/>
      <c r="AC1991" s="49"/>
    </row>
    <row r="1992" spans="1:29">
      <c r="A1992" s="48"/>
      <c r="B1992" s="48"/>
      <c r="C1992" s="48"/>
      <c r="D1992" s="48"/>
      <c r="E1992" s="48" t="s">
        <v>113</v>
      </c>
      <c r="F1992" s="6">
        <v>200</v>
      </c>
      <c r="G1992" s="50">
        <v>6000</v>
      </c>
      <c r="H1992" s="50">
        <v>9800</v>
      </c>
      <c r="I1992" s="50">
        <f>G1992+4000</f>
        <v>10000</v>
      </c>
      <c r="J1992" s="50">
        <f>H1992-2000</f>
        <v>7800</v>
      </c>
      <c r="K1992" s="50" t="s">
        <v>22</v>
      </c>
      <c r="L1992" s="50">
        <v>8</v>
      </c>
      <c r="M1992" s="49"/>
      <c r="N1992" s="49">
        <f>COUNT(S1992:CA1992)</f>
        <v>9</v>
      </c>
      <c r="O1992" s="49"/>
      <c r="P1992" s="49"/>
      <c r="Q1992" s="6">
        <v>8</v>
      </c>
      <c r="R1992" s="49"/>
      <c r="S1992" s="49">
        <v>0</v>
      </c>
      <c r="T1992" s="49">
        <v>0</v>
      </c>
      <c r="U1992" s="48">
        <v>1</v>
      </c>
      <c r="V1992" s="49">
        <v>1</v>
      </c>
      <c r="W1992" s="49">
        <v>2</v>
      </c>
      <c r="X1992" s="49">
        <v>2</v>
      </c>
      <c r="Y1992" s="49">
        <v>3</v>
      </c>
      <c r="Z1992" s="49">
        <v>3</v>
      </c>
      <c r="AA1992" s="49">
        <v>8</v>
      </c>
      <c r="AB1992" s="49"/>
      <c r="AC1992" s="49"/>
    </row>
    <row r="1993" spans="1:29">
      <c r="A1993" s="48"/>
      <c r="B1993" s="48"/>
      <c r="C1993" s="48"/>
      <c r="D1993" s="48">
        <v>4</v>
      </c>
      <c r="E1993" s="48" t="s">
        <v>15</v>
      </c>
      <c r="F1993" s="6">
        <v>1</v>
      </c>
      <c r="G1993" s="50"/>
      <c r="H1993" s="50"/>
      <c r="I1993" s="50"/>
      <c r="J1993" s="50"/>
      <c r="K1993" s="50" t="s">
        <v>228</v>
      </c>
      <c r="L1993" s="50">
        <v>4</v>
      </c>
      <c r="P1993" s="48"/>
      <c r="Q1993" s="50">
        <v>7</v>
      </c>
      <c r="R1993" s="49"/>
      <c r="S1993" s="49">
        <v>0</v>
      </c>
      <c r="T1993" s="49">
        <v>1</v>
      </c>
      <c r="U1993" s="48">
        <v>1</v>
      </c>
      <c r="V1993" s="49">
        <v>2</v>
      </c>
      <c r="W1993" s="49">
        <v>2</v>
      </c>
      <c r="X1993" s="49">
        <v>3</v>
      </c>
      <c r="Y1993" s="49">
        <v>3</v>
      </c>
      <c r="Z1993" s="49">
        <v>4</v>
      </c>
      <c r="AA1993" s="49">
        <v>4</v>
      </c>
      <c r="AB1993" s="49"/>
      <c r="AC1993" s="49"/>
    </row>
    <row r="1994" spans="1:29">
      <c r="A1994" s="49"/>
      <c r="B1994" s="49"/>
      <c r="C1994" s="49"/>
      <c r="D1994" s="49">
        <f>ROUNDUP(6+F1994/2,0)</f>
        <v>9</v>
      </c>
      <c r="E1994" s="49" t="s">
        <v>6</v>
      </c>
      <c r="F1994" s="50">
        <f>LEN(G1994)</f>
        <v>5</v>
      </c>
      <c r="G1994" s="36" t="s">
        <v>238</v>
      </c>
      <c r="H1994" s="50">
        <v>8800</v>
      </c>
      <c r="I1994" s="50">
        <v>2500</v>
      </c>
      <c r="J1994" s="50"/>
      <c r="K1994" s="50"/>
      <c r="L1994" s="50"/>
      <c r="M1994" s="50"/>
      <c r="N1994" s="50"/>
      <c r="O1994" s="50"/>
      <c r="P1994" s="49"/>
      <c r="Q1994" s="49"/>
      <c r="R1994" s="49"/>
      <c r="S1994" s="49"/>
      <c r="T1994" s="49"/>
      <c r="U1994" s="49"/>
      <c r="V1994" s="49"/>
      <c r="W1994" s="49"/>
      <c r="X1994" s="49"/>
      <c r="Y1994" s="49"/>
      <c r="Z1994" s="49"/>
      <c r="AA1994" s="49"/>
      <c r="AB1994" s="49"/>
      <c r="AC1994" s="49"/>
    </row>
    <row r="1995" spans="1:29">
      <c r="A1995" s="49"/>
      <c r="B1995" s="49"/>
      <c r="C1995" s="49"/>
      <c r="D1995" s="49">
        <f>ROUNDUP(6+F1995/2,0)</f>
        <v>9</v>
      </c>
      <c r="E1995" s="49" t="s">
        <v>6</v>
      </c>
      <c r="F1995" s="50">
        <f>LEN(G1995)</f>
        <v>5</v>
      </c>
      <c r="G1995" s="36" t="s">
        <v>239</v>
      </c>
      <c r="H1995" s="50">
        <v>8800</v>
      </c>
      <c r="I1995" s="50">
        <v>8000</v>
      </c>
      <c r="J1995" s="50"/>
      <c r="K1995" s="50"/>
      <c r="L1995" s="50"/>
      <c r="M1995" s="50"/>
      <c r="N1995" s="50"/>
      <c r="O1995" s="50"/>
      <c r="P1995" s="49"/>
      <c r="Q1995" s="49"/>
      <c r="R1995" s="49"/>
      <c r="S1995" s="49"/>
      <c r="T1995" s="49"/>
      <c r="U1995" s="49"/>
      <c r="V1995" s="49"/>
      <c r="W1995" s="49"/>
      <c r="X1995" s="49"/>
      <c r="Y1995" s="49"/>
      <c r="Z1995" s="49"/>
      <c r="AA1995" s="49"/>
      <c r="AB1995" s="49"/>
      <c r="AC1995" s="49"/>
    </row>
    <row r="1996" spans="1:29">
      <c r="A1996" s="49"/>
      <c r="B1996" s="49"/>
      <c r="C1996" s="49"/>
      <c r="D1996" s="49">
        <f>ROUNDUP(6+F1996/2,0)</f>
        <v>10</v>
      </c>
      <c r="E1996" s="49" t="s">
        <v>6</v>
      </c>
      <c r="F1996" s="50">
        <f>LEN(G1996)</f>
        <v>7</v>
      </c>
      <c r="G1996" s="36" t="s">
        <v>237</v>
      </c>
      <c r="H1996" s="50">
        <v>100</v>
      </c>
      <c r="I1996" s="50">
        <v>100</v>
      </c>
      <c r="J1996" s="50"/>
      <c r="K1996" s="50"/>
      <c r="L1996" s="50"/>
      <c r="M1996" s="50"/>
      <c r="N1996" s="50"/>
      <c r="O1996" s="50"/>
      <c r="P1996" s="49"/>
      <c r="Q1996" s="49"/>
      <c r="R1996" s="49"/>
      <c r="S1996" s="49"/>
      <c r="T1996" s="49"/>
      <c r="U1996" s="49"/>
      <c r="V1996" s="49"/>
      <c r="W1996" s="49"/>
      <c r="X1996" s="49"/>
      <c r="Y1996" s="49"/>
      <c r="Z1996" s="49"/>
      <c r="AA1996" s="49"/>
      <c r="AB1996" s="49"/>
      <c r="AC1996" s="49"/>
    </row>
    <row r="1999" spans="1:29">
      <c r="A1999" s="48" t="s">
        <v>383</v>
      </c>
      <c r="B1999" s="1" t="s">
        <v>240</v>
      </c>
      <c r="C1999" s="48"/>
      <c r="D1999" s="48" t="s">
        <v>449</v>
      </c>
      <c r="E1999" s="48">
        <v>52695</v>
      </c>
      <c r="F1999" s="6">
        <v>39622</v>
      </c>
      <c r="G1999" s="6">
        <v>0</v>
      </c>
      <c r="H1999" s="6">
        <v>0</v>
      </c>
      <c r="I1999" s="6">
        <v>0</v>
      </c>
      <c r="J1999" s="6">
        <v>11000</v>
      </c>
      <c r="K1999" s="6">
        <v>3500</v>
      </c>
      <c r="L1999" s="6">
        <v>1920</v>
      </c>
      <c r="M1999" s="6">
        <v>0</v>
      </c>
      <c r="N1999" s="6">
        <v>0</v>
      </c>
      <c r="O1999" s="6" t="e">
        <f ca="1">checksummeint(G1999,H1999,I1999,J1999,K1999,L1999,M1999,N1999)</f>
        <v>#NAME?</v>
      </c>
      <c r="P1999" s="48"/>
      <c r="Q1999" s="48"/>
      <c r="R1999" s="48"/>
      <c r="S1999" s="48"/>
      <c r="T1999" s="49"/>
      <c r="U1999" s="49"/>
    </row>
    <row r="2000" spans="1:29">
      <c r="A2000" s="1"/>
      <c r="C2000" s="48">
        <v>0</v>
      </c>
      <c r="D2000" s="48">
        <v>28</v>
      </c>
      <c r="E2000" s="48" t="s">
        <v>12</v>
      </c>
      <c r="F2000" s="6">
        <v>360</v>
      </c>
      <c r="G2000" s="6">
        <v>0</v>
      </c>
      <c r="H2000" s="6">
        <v>0</v>
      </c>
      <c r="I2000" s="6">
        <v>0</v>
      </c>
      <c r="J2000" s="6">
        <v>400</v>
      </c>
      <c r="K2000" s="6">
        <v>0</v>
      </c>
      <c r="L2000" s="6">
        <v>0</v>
      </c>
      <c r="M2000" s="6">
        <v>0</v>
      </c>
      <c r="N2000" s="6">
        <v>0</v>
      </c>
      <c r="O2000" s="6" t="s">
        <v>19</v>
      </c>
      <c r="P2000" s="48"/>
      <c r="Q2000" s="48"/>
      <c r="R2000" s="48"/>
      <c r="S2000" s="48"/>
      <c r="T2000" s="49"/>
      <c r="U2000" s="49"/>
    </row>
    <row r="2001" spans="1:21">
      <c r="C2001" s="48">
        <v>1</v>
      </c>
      <c r="D2001" s="48">
        <v>5</v>
      </c>
      <c r="E2001" s="48" t="s">
        <v>59</v>
      </c>
      <c r="F2001" s="6">
        <v>1</v>
      </c>
      <c r="G2001" s="6">
        <v>0</v>
      </c>
      <c r="P2001" s="48"/>
      <c r="Q2001" s="48"/>
      <c r="R2001" s="48"/>
      <c r="S2001" s="48"/>
      <c r="T2001" s="49"/>
      <c r="U2001" s="49"/>
    </row>
    <row r="2002" spans="1:21">
      <c r="C2002" s="48">
        <v>2</v>
      </c>
      <c r="D2002" s="48">
        <v>8</v>
      </c>
      <c r="E2002" s="48" t="s">
        <v>14</v>
      </c>
      <c r="F2002" s="6">
        <v>0</v>
      </c>
      <c r="G2002" s="6">
        <v>16</v>
      </c>
      <c r="H2002" s="6">
        <v>0</v>
      </c>
      <c r="I2002" s="6">
        <v>0</v>
      </c>
      <c r="J2002" s="6">
        <v>0</v>
      </c>
      <c r="M2002" s="44"/>
      <c r="N2002" s="45"/>
      <c r="O2002" s="46"/>
      <c r="P2002" s="48"/>
      <c r="Q2002" s="48"/>
      <c r="R2002" s="48"/>
      <c r="S2002" s="48"/>
      <c r="T2002" s="49"/>
      <c r="U2002" s="49"/>
    </row>
    <row r="2003" spans="1:21">
      <c r="C2003" s="48">
        <v>3</v>
      </c>
      <c r="D2003" s="48">
        <v>7</v>
      </c>
      <c r="E2003" s="48" t="s">
        <v>11</v>
      </c>
      <c r="F2003" s="6">
        <v>0</v>
      </c>
      <c r="G2003" s="50">
        <f>255*256+192</f>
        <v>65472</v>
      </c>
      <c r="H2003" s="50">
        <v>192</v>
      </c>
      <c r="I2003" s="6">
        <v>0</v>
      </c>
      <c r="P2003" s="48"/>
      <c r="Q2003" s="48"/>
      <c r="R2003" s="48"/>
      <c r="S2003" s="48"/>
      <c r="T2003" s="49"/>
      <c r="U2003" s="49"/>
    </row>
    <row r="2004" spans="1:21">
      <c r="C2004" s="48">
        <v>4</v>
      </c>
      <c r="D2004" s="48">
        <v>7</v>
      </c>
      <c r="E2004" s="48" t="s">
        <v>11</v>
      </c>
      <c r="F2004" s="6">
        <v>0</v>
      </c>
      <c r="G2004" s="6">
        <v>0</v>
      </c>
      <c r="H2004" s="6">
        <v>0</v>
      </c>
      <c r="I2004" s="6">
        <v>0</v>
      </c>
      <c r="P2004" s="48"/>
      <c r="Q2004" s="48"/>
      <c r="R2004" s="48"/>
      <c r="S2004" s="48"/>
      <c r="T2004" s="49"/>
      <c r="U2004" s="49"/>
    </row>
    <row r="2005" spans="1:21">
      <c r="C2005" s="49">
        <v>5</v>
      </c>
      <c r="D2005" s="48">
        <v>4</v>
      </c>
      <c r="E2005" s="48" t="s">
        <v>15</v>
      </c>
      <c r="F2005" s="6">
        <v>0</v>
      </c>
      <c r="G2005" s="50"/>
      <c r="P2005" s="48"/>
      <c r="Q2005" s="48"/>
      <c r="R2005" s="48"/>
      <c r="S2005" s="48"/>
      <c r="T2005" s="49"/>
      <c r="U2005" s="49"/>
    </row>
    <row r="2006" spans="1:21">
      <c r="C2006" s="49">
        <v>6</v>
      </c>
      <c r="D2006" s="48">
        <v>4</v>
      </c>
      <c r="E2006" s="48" t="s">
        <v>15</v>
      </c>
      <c r="F2006" s="6">
        <v>1</v>
      </c>
      <c r="P2006" s="48"/>
      <c r="Q2006" s="48"/>
      <c r="R2006" s="48"/>
      <c r="S2006" s="48"/>
      <c r="T2006" s="49"/>
      <c r="U2006" s="49"/>
    </row>
    <row r="2007" spans="1:21">
      <c r="C2007" s="49"/>
      <c r="D2007" s="48"/>
      <c r="E2007" s="48" t="s">
        <v>113</v>
      </c>
      <c r="F2007" s="6">
        <v>200</v>
      </c>
      <c r="G2007" s="50">
        <v>500</v>
      </c>
      <c r="H2007" s="50">
        <v>3000</v>
      </c>
      <c r="I2007" s="50">
        <f>G2007+U2007*30</f>
        <v>5900</v>
      </c>
      <c r="J2007" s="50">
        <f>H2007-U2008*50</f>
        <v>750</v>
      </c>
      <c r="K2007" s="50" t="s">
        <v>22</v>
      </c>
      <c r="L2007" s="50">
        <v>4</v>
      </c>
      <c r="M2007" s="49">
        <v>0</v>
      </c>
      <c r="N2007" s="49">
        <v>3</v>
      </c>
      <c r="O2007" s="49">
        <v>0</v>
      </c>
      <c r="P2007" s="49">
        <v>0</v>
      </c>
      <c r="Q2007" s="49">
        <v>3</v>
      </c>
      <c r="R2007" s="49">
        <v>0</v>
      </c>
      <c r="S2007" s="49">
        <v>0</v>
      </c>
      <c r="T2007" s="49">
        <v>72</v>
      </c>
      <c r="U2007" s="48">
        <v>180</v>
      </c>
    </row>
    <row r="2008" spans="1:21">
      <c r="C2008" s="49"/>
      <c r="D2008" s="48">
        <v>7</v>
      </c>
      <c r="E2008" s="48" t="s">
        <v>11</v>
      </c>
      <c r="F2008" s="6">
        <v>0</v>
      </c>
      <c r="G2008" s="6">
        <f>256*192+255</f>
        <v>49407</v>
      </c>
      <c r="H2008" s="6">
        <v>192</v>
      </c>
      <c r="I2008" s="6">
        <v>0</v>
      </c>
      <c r="K2008" s="50" t="s">
        <v>21</v>
      </c>
      <c r="L2008" s="50">
        <v>5</v>
      </c>
      <c r="M2008" s="49"/>
      <c r="N2008" s="48"/>
      <c r="P2008" s="49"/>
      <c r="Q2008" s="50">
        <v>2</v>
      </c>
      <c r="R2008" s="49"/>
      <c r="S2008" s="49">
        <v>0</v>
      </c>
      <c r="T2008" s="49">
        <v>45</v>
      </c>
      <c r="U2008" s="48">
        <f>T2008</f>
        <v>45</v>
      </c>
    </row>
    <row r="2009" spans="1:21">
      <c r="C2009" s="49"/>
      <c r="D2009" s="48">
        <v>4</v>
      </c>
      <c r="E2009" s="1" t="s">
        <v>448</v>
      </c>
      <c r="F2009" s="6">
        <v>3</v>
      </c>
      <c r="G2009" s="50"/>
      <c r="K2009" s="50"/>
      <c r="L2009" s="50"/>
      <c r="M2009" s="49"/>
      <c r="N2009" s="48"/>
      <c r="P2009" s="49"/>
      <c r="Q2009" s="6"/>
      <c r="R2009" s="49"/>
      <c r="S2009" s="49"/>
      <c r="T2009" s="49"/>
      <c r="U2009" s="48"/>
    </row>
    <row r="2010" spans="1:21">
      <c r="C2010" s="49"/>
      <c r="D2010" s="48"/>
      <c r="E2010" s="48" t="s">
        <v>113</v>
      </c>
      <c r="F2010" s="6">
        <v>200</v>
      </c>
      <c r="G2010" s="50">
        <v>7500</v>
      </c>
      <c r="H2010" s="50">
        <f>H2007</f>
        <v>3000</v>
      </c>
      <c r="I2010" s="50">
        <f>G2010+U2010*30</f>
        <v>9900</v>
      </c>
      <c r="J2010" s="50">
        <f>H2010-U2011*50</f>
        <v>500</v>
      </c>
      <c r="K2010" s="50" t="s">
        <v>241</v>
      </c>
      <c r="L2010" s="49">
        <v>4</v>
      </c>
      <c r="M2010" s="49"/>
      <c r="N2010" s="49">
        <v>3</v>
      </c>
      <c r="O2010" s="50"/>
      <c r="P2010" s="49"/>
      <c r="Q2010" s="6">
        <v>3</v>
      </c>
      <c r="R2010" s="49"/>
      <c r="S2010" s="49">
        <v>0</v>
      </c>
      <c r="T2010" s="49">
        <v>40</v>
      </c>
      <c r="U2010" s="48">
        <v>80</v>
      </c>
    </row>
    <row r="2011" spans="1:21">
      <c r="C2011" s="49"/>
      <c r="D2011" s="48">
        <v>4</v>
      </c>
      <c r="E2011" s="48" t="s">
        <v>15</v>
      </c>
      <c r="F2011" s="6">
        <v>4</v>
      </c>
      <c r="G2011" s="49"/>
      <c r="H2011" s="49"/>
      <c r="I2011" s="49"/>
      <c r="J2011" s="50"/>
      <c r="K2011" s="50" t="s">
        <v>242</v>
      </c>
      <c r="L2011" s="50">
        <v>5</v>
      </c>
      <c r="P2011" s="48"/>
      <c r="Q2011" s="50">
        <v>4</v>
      </c>
      <c r="R2011" s="49"/>
      <c r="S2011" s="49">
        <v>0</v>
      </c>
      <c r="T2011" s="49">
        <v>50</v>
      </c>
      <c r="U2011" s="48">
        <v>50</v>
      </c>
    </row>
    <row r="2012" spans="1:21">
      <c r="C2012" s="49"/>
      <c r="D2012" s="49">
        <v>7</v>
      </c>
      <c r="E2012" s="49" t="s">
        <v>5</v>
      </c>
      <c r="F2012" s="50">
        <f>H2007</f>
        <v>3000</v>
      </c>
      <c r="G2012" s="50">
        <f>I2012-30*75</f>
        <v>3650</v>
      </c>
      <c r="H2012" s="50">
        <f>J2007</f>
        <v>750</v>
      </c>
      <c r="I2012" s="50">
        <f>I2007</f>
        <v>5900</v>
      </c>
      <c r="J2012" s="50"/>
      <c r="K2012" s="50"/>
      <c r="L2012" s="50"/>
      <c r="P2012" s="48"/>
      <c r="Q2012" s="50"/>
      <c r="R2012" s="49"/>
      <c r="S2012" s="49"/>
      <c r="T2012" s="49"/>
      <c r="U2012" s="48"/>
    </row>
    <row r="2013" spans="1:21">
      <c r="A2013" s="2"/>
      <c r="B2013" s="2"/>
      <c r="C2013" s="49"/>
      <c r="D2013" s="48">
        <v>7</v>
      </c>
      <c r="E2013" s="48" t="s">
        <v>11</v>
      </c>
      <c r="F2013" s="6">
        <v>1</v>
      </c>
      <c r="G2013" s="6">
        <v>0</v>
      </c>
      <c r="H2013" s="6">
        <v>0</v>
      </c>
      <c r="I2013" s="6">
        <v>0</v>
      </c>
      <c r="K2013" s="50"/>
      <c r="L2013" s="50"/>
      <c r="M2013" s="50"/>
      <c r="N2013" s="50"/>
      <c r="O2013" s="50"/>
      <c r="P2013" s="49"/>
      <c r="Q2013" s="49"/>
      <c r="R2013" s="49"/>
      <c r="S2013" s="49"/>
      <c r="T2013" s="49"/>
      <c r="U2013" s="49"/>
    </row>
    <row r="2014" spans="1:21">
      <c r="A2014" s="2"/>
      <c r="B2014" s="2"/>
      <c r="C2014" s="49"/>
      <c r="D2014" s="48">
        <v>4</v>
      </c>
      <c r="E2014" s="48" t="s">
        <v>15</v>
      </c>
      <c r="F2014" s="6">
        <v>5</v>
      </c>
      <c r="G2014" s="50"/>
      <c r="J2014" s="50"/>
      <c r="K2014" s="50"/>
      <c r="L2014" s="50"/>
      <c r="M2014" s="50"/>
      <c r="N2014" s="50"/>
      <c r="O2014" s="50"/>
      <c r="P2014" s="49"/>
      <c r="Q2014" s="49"/>
      <c r="R2014" s="49"/>
      <c r="S2014" s="49"/>
      <c r="T2014" s="49"/>
      <c r="U2014" s="49"/>
    </row>
    <row r="2015" spans="1:21">
      <c r="A2015" s="2"/>
      <c r="B2015" s="2"/>
      <c r="C2015" s="49"/>
      <c r="D2015" s="48">
        <v>8</v>
      </c>
      <c r="E2015" s="48" t="s">
        <v>14</v>
      </c>
      <c r="F2015" s="6">
        <v>0</v>
      </c>
      <c r="G2015" s="6">
        <v>16</v>
      </c>
      <c r="H2015" s="6">
        <v>0</v>
      </c>
      <c r="I2015" s="6">
        <v>255</v>
      </c>
      <c r="J2015" s="6">
        <v>0</v>
      </c>
      <c r="K2015" s="50"/>
      <c r="L2015" s="50"/>
      <c r="M2015" s="50"/>
      <c r="N2015" s="50"/>
      <c r="O2015" s="50"/>
      <c r="P2015" s="49"/>
      <c r="Q2015" s="49"/>
      <c r="R2015" s="49"/>
      <c r="S2015" s="49"/>
      <c r="T2015" s="49"/>
      <c r="U2015" s="49"/>
    </row>
    <row r="2016" spans="1:21">
      <c r="A2016" s="2"/>
      <c r="B2016" s="2"/>
      <c r="C2016" s="49"/>
      <c r="D2016" s="48">
        <v>4</v>
      </c>
      <c r="E2016" s="48" t="s">
        <v>15</v>
      </c>
      <c r="F2016" s="6">
        <v>6</v>
      </c>
      <c r="G2016" s="50"/>
      <c r="H2016" s="50"/>
      <c r="I2016" s="50"/>
      <c r="J2016" s="50"/>
      <c r="K2016" s="50"/>
      <c r="L2016" s="50"/>
      <c r="M2016" s="50"/>
      <c r="N2016" s="50"/>
      <c r="O2016" s="50"/>
      <c r="P2016" s="49"/>
      <c r="Q2016" s="49"/>
      <c r="R2016" s="49"/>
      <c r="S2016" s="49"/>
      <c r="T2016" s="49"/>
      <c r="U2016" s="49"/>
    </row>
    <row r="2017" spans="1:23">
      <c r="A2017" s="2"/>
      <c r="B2017" s="2"/>
      <c r="C2017" s="49"/>
      <c r="D2017" s="49">
        <f>F2017*2+4</f>
        <v>14</v>
      </c>
      <c r="E2017" s="49" t="s">
        <v>4</v>
      </c>
      <c r="F2017" s="50">
        <v>5</v>
      </c>
      <c r="G2017" s="50">
        <v>3650</v>
      </c>
      <c r="H2017" s="50">
        <v>3000</v>
      </c>
      <c r="I2017" s="50">
        <v>3650</v>
      </c>
      <c r="J2017" s="50">
        <v>750</v>
      </c>
      <c r="K2017" s="50">
        <f>I2017-33*30</f>
        <v>2660</v>
      </c>
      <c r="L2017" s="50">
        <f>J2017</f>
        <v>750</v>
      </c>
      <c r="M2017" s="50">
        <v>1050</v>
      </c>
      <c r="N2017" s="50">
        <f>H2017-50*18.3333*0.625</f>
        <v>2427.0843749999999</v>
      </c>
      <c r="O2017" s="50">
        <v>1050</v>
      </c>
      <c r="P2017" s="49">
        <v>3000</v>
      </c>
      <c r="Q2017" s="49"/>
      <c r="R2017" s="49"/>
      <c r="S2017" s="49"/>
      <c r="T2017" s="49"/>
      <c r="U2017" s="49"/>
    </row>
    <row r="2018" spans="1:23">
      <c r="A2018" s="2"/>
      <c r="B2018" s="2"/>
      <c r="C2018" s="49"/>
      <c r="D2018" s="48">
        <f>ROUNDUP(6+F2018/2,0)</f>
        <v>12</v>
      </c>
      <c r="E2018" s="48" t="s">
        <v>6</v>
      </c>
      <c r="F2018" s="6">
        <f>LEN(G2018)</f>
        <v>11</v>
      </c>
      <c r="G2018" s="50" t="s">
        <v>243</v>
      </c>
      <c r="H2018" s="6">
        <v>2000</v>
      </c>
      <c r="I2018" s="6">
        <f>7*256</f>
        <v>1792</v>
      </c>
      <c r="J2018" s="50"/>
      <c r="K2018" s="50"/>
      <c r="L2018" s="50"/>
      <c r="M2018" s="50"/>
      <c r="N2018" s="50"/>
      <c r="O2018" s="50"/>
      <c r="P2018" s="49"/>
      <c r="Q2018" s="49"/>
      <c r="R2018" s="49"/>
      <c r="S2018" s="49"/>
      <c r="T2018" s="49"/>
      <c r="U2018" s="49"/>
    </row>
    <row r="2019" spans="1:23">
      <c r="A2019" s="2"/>
      <c r="B2019" s="2"/>
      <c r="C2019" s="49"/>
      <c r="D2019" s="48">
        <f>ROUNDUP(6+F2019/2,0)</f>
        <v>12</v>
      </c>
      <c r="E2019" s="48" t="s">
        <v>6</v>
      </c>
      <c r="F2019" s="6">
        <f>LEN(G2019)</f>
        <v>11</v>
      </c>
      <c r="G2019" s="50" t="s">
        <v>244</v>
      </c>
      <c r="H2019" s="6">
        <v>2000</v>
      </c>
      <c r="I2019" s="6">
        <f>256*32</f>
        <v>8192</v>
      </c>
      <c r="J2019" s="50"/>
      <c r="K2019" s="50"/>
      <c r="L2019" s="50"/>
      <c r="M2019" s="50"/>
      <c r="N2019" s="50"/>
      <c r="O2019" s="50"/>
      <c r="P2019" s="49"/>
      <c r="Q2019" s="49"/>
      <c r="R2019" s="49"/>
      <c r="S2019" s="49"/>
      <c r="T2019" s="49"/>
      <c r="U2019" s="49"/>
    </row>
    <row r="2021" spans="1:23">
      <c r="A2021" s="48" t="s">
        <v>383</v>
      </c>
      <c r="B2021" s="1" t="s">
        <v>800</v>
      </c>
      <c r="D2021" t="s">
        <v>449</v>
      </c>
      <c r="E2021">
        <v>52695</v>
      </c>
      <c r="F2021" s="6">
        <v>39622</v>
      </c>
      <c r="G2021" s="6">
        <v>0</v>
      </c>
      <c r="H2021" s="6">
        <v>0</v>
      </c>
      <c r="I2021" s="6">
        <v>0</v>
      </c>
      <c r="J2021" s="6">
        <v>10500</v>
      </c>
      <c r="K2021" s="6">
        <v>3400</v>
      </c>
      <c r="L2021" s="6">
        <v>1920</v>
      </c>
      <c r="M2021" s="6">
        <v>0</v>
      </c>
      <c r="N2021" s="6">
        <v>0</v>
      </c>
      <c r="O2021" s="6" t="e">
        <f ca="1">checksummeint(G2021,H2021,I2021,J2021,K2021,L2021,M2021,N2021)</f>
        <v>#NAME?</v>
      </c>
    </row>
    <row r="2022" spans="1:23">
      <c r="A2022" s="1"/>
      <c r="D2022">
        <v>28</v>
      </c>
      <c r="E2022" t="s">
        <v>12</v>
      </c>
      <c r="F2022" s="6">
        <v>360</v>
      </c>
      <c r="G2022" s="6">
        <v>0</v>
      </c>
      <c r="H2022" s="6">
        <v>0</v>
      </c>
      <c r="I2022" s="6">
        <v>0</v>
      </c>
      <c r="J2022" s="6">
        <v>400</v>
      </c>
      <c r="K2022" s="6">
        <v>0</v>
      </c>
      <c r="L2022" s="6">
        <v>0</v>
      </c>
      <c r="M2022" s="6">
        <v>0</v>
      </c>
      <c r="N2022" s="6">
        <v>0</v>
      </c>
      <c r="O2022" s="6" t="s">
        <v>19</v>
      </c>
    </row>
    <row r="2023" spans="1:23">
      <c r="D2023">
        <v>5</v>
      </c>
      <c r="E2023" t="s">
        <v>59</v>
      </c>
      <c r="F2023" s="6">
        <v>1</v>
      </c>
      <c r="G2023" s="6">
        <v>0</v>
      </c>
    </row>
    <row r="2024" spans="1:23">
      <c r="D2024">
        <v>8</v>
      </c>
      <c r="E2024" t="s">
        <v>14</v>
      </c>
      <c r="F2024" s="6">
        <v>0</v>
      </c>
      <c r="G2024" s="6">
        <v>16</v>
      </c>
      <c r="H2024" s="6">
        <v>0</v>
      </c>
      <c r="I2024" s="6">
        <v>0</v>
      </c>
      <c r="J2024" s="6">
        <v>0</v>
      </c>
      <c r="M2024" s="44"/>
      <c r="N2024" s="45"/>
      <c r="O2024" s="46"/>
    </row>
    <row r="2025" spans="1:23">
      <c r="D2025">
        <v>7</v>
      </c>
      <c r="E2025" t="s">
        <v>11</v>
      </c>
      <c r="F2025" s="6">
        <v>0</v>
      </c>
      <c r="G2025" s="24">
        <f>255*256+192</f>
        <v>65472</v>
      </c>
      <c r="H2025" s="24">
        <v>192</v>
      </c>
      <c r="I2025" s="6">
        <v>0</v>
      </c>
    </row>
    <row r="2026" spans="1:23">
      <c r="D2026">
        <v>7</v>
      </c>
      <c r="E2026" t="s">
        <v>11</v>
      </c>
      <c r="F2026" s="6">
        <v>0</v>
      </c>
      <c r="G2026" s="6">
        <v>0</v>
      </c>
      <c r="H2026" s="6">
        <v>0</v>
      </c>
      <c r="I2026" s="6">
        <v>0</v>
      </c>
    </row>
    <row r="2027" spans="1:23">
      <c r="D2027">
        <v>4</v>
      </c>
      <c r="E2027" t="s">
        <v>15</v>
      </c>
      <c r="F2027" s="6">
        <v>0</v>
      </c>
      <c r="G2027" s="24"/>
    </row>
    <row r="2028" spans="1:23">
      <c r="D2028">
        <v>4</v>
      </c>
      <c r="E2028" t="s">
        <v>15</v>
      </c>
      <c r="F2028" s="6">
        <v>1</v>
      </c>
    </row>
    <row r="2029" spans="1:23">
      <c r="E2029" t="s">
        <v>113</v>
      </c>
      <c r="F2029" s="6">
        <v>200</v>
      </c>
      <c r="G2029" s="24">
        <v>900</v>
      </c>
      <c r="H2029" s="24">
        <v>2900</v>
      </c>
      <c r="I2029" s="24">
        <f>G2029+W2029*20</f>
        <v>9700</v>
      </c>
      <c r="J2029" s="24">
        <f>H2029-W2030*10</f>
        <v>506</v>
      </c>
      <c r="K2029" s="24" t="s">
        <v>22</v>
      </c>
      <c r="L2029" s="24">
        <v>1</v>
      </c>
      <c r="M2029" s="6">
        <v>0</v>
      </c>
      <c r="N2029" s="2">
        <v>5</v>
      </c>
      <c r="O2029" s="50">
        <v>0</v>
      </c>
      <c r="P2029" s="50">
        <v>0</v>
      </c>
      <c r="Q2029" s="50">
        <v>3</v>
      </c>
      <c r="R2029">
        <v>0</v>
      </c>
      <c r="S2029" s="2">
        <v>0</v>
      </c>
      <c r="T2029" s="2">
        <v>68.7</v>
      </c>
      <c r="U2029">
        <v>171.8</v>
      </c>
      <c r="V2029">
        <v>279</v>
      </c>
      <c r="W2029">
        <v>440</v>
      </c>
    </row>
    <row r="2030" spans="1:23">
      <c r="D2030" s="2"/>
      <c r="E2030" s="6" t="s">
        <v>515</v>
      </c>
      <c r="F2030" s="24" t="s">
        <v>579</v>
      </c>
      <c r="G2030" s="6">
        <f>I2031-150</f>
        <v>2124</v>
      </c>
      <c r="H2030" s="6">
        <f>H2029+100</f>
        <v>3000</v>
      </c>
      <c r="I2030" s="6">
        <f>I2032-200</f>
        <v>4136</v>
      </c>
      <c r="J2030" s="6">
        <f>I2033-200</f>
        <v>6280</v>
      </c>
      <c r="K2030" s="24" t="s">
        <v>21</v>
      </c>
      <c r="L2030" s="24">
        <v>-1</v>
      </c>
      <c r="N2030" s="6">
        <v>3</v>
      </c>
      <c r="Q2030" s="24">
        <v>2</v>
      </c>
      <c r="S2030" s="2">
        <v>0</v>
      </c>
      <c r="T2030">
        <v>210.8</v>
      </c>
      <c r="U2030">
        <v>210.8</v>
      </c>
      <c r="V2030">
        <v>239.4</v>
      </c>
      <c r="W2030">
        <v>239.4</v>
      </c>
    </row>
    <row r="2031" spans="1:23">
      <c r="D2031" s="2">
        <f>F2031*2+4</f>
        <v>8</v>
      </c>
      <c r="E2031" t="s">
        <v>1</v>
      </c>
      <c r="F2031" s="6">
        <v>2</v>
      </c>
      <c r="G2031" s="24">
        <f>G2029+20*T2029</f>
        <v>2274</v>
      </c>
      <c r="H2031" s="6">
        <f>H2030-200</f>
        <v>2800</v>
      </c>
      <c r="I2031" s="6">
        <f>G2031</f>
        <v>2274</v>
      </c>
      <c r="J2031" s="6">
        <f>H2031+200</f>
        <v>3000</v>
      </c>
    </row>
    <row r="2032" spans="1:23">
      <c r="D2032" s="2">
        <f>F2032*2+4</f>
        <v>10</v>
      </c>
      <c r="E2032" t="s">
        <v>1</v>
      </c>
      <c r="F2032" s="6">
        <v>3</v>
      </c>
      <c r="G2032" s="24">
        <f>G2029+20*U2029</f>
        <v>4336</v>
      </c>
      <c r="H2032" s="6">
        <f>H2030</f>
        <v>3000</v>
      </c>
      <c r="I2032" s="6">
        <f>G2032</f>
        <v>4336</v>
      </c>
      <c r="J2032" s="6">
        <f>H2032-10*U2030-100</f>
        <v>792</v>
      </c>
      <c r="K2032" s="6">
        <f>I2029</f>
        <v>9700</v>
      </c>
      <c r="L2032" s="6">
        <f>J2032</f>
        <v>792</v>
      </c>
    </row>
    <row r="2033" spans="1:23">
      <c r="D2033" s="2">
        <f>F2033*2+4</f>
        <v>8</v>
      </c>
      <c r="E2033" t="s">
        <v>1</v>
      </c>
      <c r="F2033" s="6">
        <v>2</v>
      </c>
      <c r="G2033" s="24">
        <f>G2029+20*V2029</f>
        <v>6480</v>
      </c>
      <c r="H2033" s="6">
        <f>H2030-200</f>
        <v>2800</v>
      </c>
      <c r="I2033" s="6">
        <f>G2033</f>
        <v>6480</v>
      </c>
      <c r="J2033" s="6">
        <f>H2033+200</f>
        <v>3000</v>
      </c>
    </row>
    <row r="2034" spans="1:23">
      <c r="D2034" s="2"/>
      <c r="E2034" s="24" t="s">
        <v>517</v>
      </c>
      <c r="F2034" s="6" t="s">
        <v>580</v>
      </c>
      <c r="G2034" s="6">
        <v>2000</v>
      </c>
      <c r="H2034" s="6">
        <v>2000</v>
      </c>
      <c r="I2034" s="6">
        <f>H2034+300</f>
        <v>2300</v>
      </c>
    </row>
    <row r="2035" spans="1:23">
      <c r="D2035" s="2"/>
      <c r="E2035" s="24" t="s">
        <v>517</v>
      </c>
      <c r="F2035" s="6" t="s">
        <v>581</v>
      </c>
      <c r="G2035" s="6">
        <v>6400</v>
      </c>
      <c r="H2035" s="6">
        <f>H2034</f>
        <v>2000</v>
      </c>
      <c r="I2035" s="6">
        <v>200</v>
      </c>
      <c r="J2035" s="6">
        <f>H2035+300</f>
        <v>2300</v>
      </c>
      <c r="K2035" s="6">
        <f>I2035+300</f>
        <v>500</v>
      </c>
    </row>
    <row r="2036" spans="1:23">
      <c r="D2036" s="2"/>
      <c r="E2036" s="2"/>
      <c r="F2036" s="24"/>
      <c r="G2036" s="31"/>
    </row>
    <row r="2038" spans="1:23">
      <c r="A2038" s="48" t="s">
        <v>383</v>
      </c>
      <c r="B2038" s="1" t="s">
        <v>252</v>
      </c>
      <c r="D2038" s="48" t="s">
        <v>449</v>
      </c>
      <c r="E2038" s="48">
        <v>52695</v>
      </c>
      <c r="F2038" s="6">
        <v>39622</v>
      </c>
      <c r="G2038" s="6">
        <v>0</v>
      </c>
      <c r="H2038" s="6">
        <v>0</v>
      </c>
      <c r="I2038" s="6">
        <v>0</v>
      </c>
      <c r="J2038" s="6">
        <v>6000</v>
      </c>
      <c r="K2038" s="6">
        <v>9400</v>
      </c>
      <c r="L2038" s="6">
        <v>1920</v>
      </c>
      <c r="M2038" s="6">
        <v>0</v>
      </c>
      <c r="N2038" s="6">
        <v>0</v>
      </c>
      <c r="O2038" s="6" t="e">
        <f ca="1">checksummeint(G2038,H2038,I2038,J2038,K2038,L2038,M2038,N2038)</f>
        <v>#NAME?</v>
      </c>
      <c r="P2038" s="48"/>
      <c r="Q2038" s="48"/>
      <c r="R2038" s="48"/>
      <c r="S2038" s="48"/>
      <c r="T2038" s="48"/>
      <c r="U2038" s="48"/>
      <c r="V2038" s="48"/>
      <c r="W2038" s="48"/>
    </row>
    <row r="2039" spans="1:23">
      <c r="A2039" s="62" t="s">
        <v>812</v>
      </c>
      <c r="D2039" s="48">
        <v>28</v>
      </c>
      <c r="E2039" s="48" t="s">
        <v>12</v>
      </c>
      <c r="F2039" s="6">
        <v>360</v>
      </c>
      <c r="G2039" s="6">
        <v>0</v>
      </c>
      <c r="H2039" s="6">
        <v>0</v>
      </c>
      <c r="I2039" s="6">
        <v>0</v>
      </c>
      <c r="J2039" s="6">
        <v>400</v>
      </c>
      <c r="K2039" s="6">
        <v>0</v>
      </c>
      <c r="L2039" s="6">
        <v>0</v>
      </c>
      <c r="M2039" s="6">
        <v>0</v>
      </c>
      <c r="N2039" s="6">
        <v>0</v>
      </c>
      <c r="O2039" s="6" t="s">
        <v>19</v>
      </c>
      <c r="P2039" s="48"/>
      <c r="Q2039" s="48"/>
      <c r="R2039" s="48"/>
      <c r="S2039" s="48"/>
      <c r="T2039" s="48"/>
      <c r="U2039" s="48"/>
      <c r="V2039" s="48"/>
      <c r="W2039" s="48"/>
    </row>
    <row r="2040" spans="1:23">
      <c r="D2040" s="48">
        <v>5</v>
      </c>
      <c r="E2040" s="48" t="s">
        <v>59</v>
      </c>
      <c r="F2040" s="6">
        <v>1</v>
      </c>
      <c r="G2040" s="6">
        <v>0</v>
      </c>
      <c r="P2040" s="48"/>
      <c r="Q2040" s="48"/>
      <c r="R2040" s="48"/>
      <c r="S2040" s="48"/>
      <c r="T2040" s="48"/>
      <c r="U2040" s="48"/>
      <c r="V2040" s="48"/>
      <c r="W2040" s="48"/>
    </row>
    <row r="2041" spans="1:23">
      <c r="D2041" s="48">
        <v>8</v>
      </c>
      <c r="E2041" s="48" t="s">
        <v>14</v>
      </c>
      <c r="F2041" s="6">
        <v>0</v>
      </c>
      <c r="G2041" s="6">
        <v>16</v>
      </c>
      <c r="H2041" s="6">
        <v>0</v>
      </c>
      <c r="I2041" s="6">
        <v>0</v>
      </c>
      <c r="J2041" s="6">
        <v>0</v>
      </c>
      <c r="M2041" s="44"/>
      <c r="N2041" s="45"/>
      <c r="O2041" s="46"/>
      <c r="P2041" s="48"/>
      <c r="Q2041" s="48"/>
      <c r="R2041" s="48"/>
      <c r="S2041" s="48"/>
      <c r="T2041" s="48"/>
      <c r="U2041" s="48"/>
      <c r="V2041" s="48"/>
      <c r="W2041" s="48"/>
    </row>
    <row r="2042" spans="1:23">
      <c r="D2042" s="48">
        <v>7</v>
      </c>
      <c r="E2042" s="48" t="s">
        <v>11</v>
      </c>
      <c r="F2042" s="6">
        <v>0</v>
      </c>
      <c r="G2042" s="50">
        <f>255*256+192</f>
        <v>65472</v>
      </c>
      <c r="H2042" s="50">
        <v>192</v>
      </c>
      <c r="I2042" s="6">
        <v>0</v>
      </c>
      <c r="P2042" s="48"/>
      <c r="Q2042" s="48"/>
      <c r="R2042" s="48"/>
      <c r="S2042" s="48"/>
      <c r="T2042" s="48"/>
      <c r="U2042" s="48"/>
      <c r="V2042" s="48"/>
      <c r="W2042" s="48"/>
    </row>
    <row r="2043" spans="1:23">
      <c r="D2043" s="48">
        <v>7</v>
      </c>
      <c r="E2043" s="48" t="s">
        <v>11</v>
      </c>
      <c r="F2043" s="6">
        <v>0</v>
      </c>
      <c r="G2043" s="6">
        <v>0</v>
      </c>
      <c r="H2043" s="6">
        <v>0</v>
      </c>
      <c r="I2043" s="6">
        <v>0</v>
      </c>
      <c r="P2043" s="48"/>
      <c r="Q2043" s="48"/>
      <c r="R2043" s="48"/>
      <c r="S2043" s="48"/>
      <c r="T2043" s="48"/>
      <c r="U2043" s="48"/>
      <c r="V2043" s="48"/>
      <c r="W2043" s="48"/>
    </row>
    <row r="2044" spans="1:23">
      <c r="D2044" s="48">
        <v>4</v>
      </c>
      <c r="E2044" s="48" t="s">
        <v>15</v>
      </c>
      <c r="F2044" s="6">
        <v>0</v>
      </c>
      <c r="G2044" s="50"/>
      <c r="P2044" s="48"/>
      <c r="Q2044" s="48"/>
      <c r="R2044" s="48"/>
      <c r="S2044" s="48"/>
      <c r="T2044" s="48"/>
      <c r="U2044" s="48"/>
      <c r="V2044" s="48"/>
      <c r="W2044" s="48"/>
    </row>
    <row r="2045" spans="1:23">
      <c r="D2045" s="48">
        <v>4</v>
      </c>
      <c r="E2045" s="48" t="s">
        <v>15</v>
      </c>
      <c r="F2045" s="6">
        <v>1</v>
      </c>
      <c r="I2045" s="6">
        <v>10</v>
      </c>
      <c r="J2045" s="6">
        <v>25</v>
      </c>
      <c r="P2045" s="48"/>
      <c r="Q2045" s="48"/>
      <c r="R2045" s="48"/>
      <c r="S2045" s="48"/>
      <c r="T2045" s="48"/>
      <c r="U2045" s="48"/>
      <c r="V2045" s="48"/>
      <c r="W2045" s="48"/>
    </row>
    <row r="2046" spans="1:23">
      <c r="D2046" s="48"/>
      <c r="E2046" s="48" t="s">
        <v>113</v>
      </c>
      <c r="F2046" s="6">
        <v>200</v>
      </c>
      <c r="G2046" s="50">
        <v>900</v>
      </c>
      <c r="H2046" s="50">
        <v>1600</v>
      </c>
      <c r="I2046" s="50">
        <f>G2046+U2046*I2045</f>
        <v>3600</v>
      </c>
      <c r="J2046" s="50">
        <f>H2046-U2047*J2045</f>
        <v>452.5</v>
      </c>
      <c r="K2046" s="50" t="s">
        <v>22</v>
      </c>
      <c r="L2046" s="50">
        <v>-1</v>
      </c>
      <c r="M2046" s="49">
        <v>0</v>
      </c>
      <c r="N2046" s="49">
        <f>COUNT(S2046:CA2046)</f>
        <v>3</v>
      </c>
      <c r="O2046" s="50">
        <v>0</v>
      </c>
      <c r="P2046" s="50">
        <v>0</v>
      </c>
      <c r="Q2046" s="49">
        <v>3</v>
      </c>
      <c r="R2046" s="49">
        <v>0</v>
      </c>
      <c r="S2046" s="49">
        <v>0</v>
      </c>
      <c r="T2046" s="49">
        <v>108</v>
      </c>
      <c r="U2046" s="49">
        <v>270</v>
      </c>
      <c r="V2046" s="49"/>
      <c r="W2046" s="49"/>
    </row>
    <row r="2047" spans="1:23">
      <c r="D2047" s="48"/>
      <c r="E2047" s="54" t="s">
        <v>448</v>
      </c>
      <c r="G2047" s="36"/>
      <c r="K2047" s="50" t="s">
        <v>247</v>
      </c>
      <c r="L2047" s="6">
        <f>L2046</f>
        <v>-1</v>
      </c>
      <c r="M2047" s="49"/>
      <c r="N2047" s="48"/>
      <c r="P2047" s="49"/>
      <c r="Q2047" s="50">
        <v>2</v>
      </c>
      <c r="R2047" s="49"/>
      <c r="S2047" s="49">
        <v>0</v>
      </c>
      <c r="T2047" s="49">
        <v>45.9</v>
      </c>
      <c r="U2047" s="49">
        <v>45.9</v>
      </c>
      <c r="V2047" s="49"/>
      <c r="W2047" s="49"/>
    </row>
    <row r="2048" spans="1:23">
      <c r="D2048" s="49"/>
      <c r="E2048" s="48" t="s">
        <v>113</v>
      </c>
      <c r="F2048" s="6">
        <v>200</v>
      </c>
      <c r="G2048" s="50">
        <v>900</v>
      </c>
      <c r="H2048" s="50">
        <f>H2046+1900</f>
        <v>3500</v>
      </c>
      <c r="I2048" s="50">
        <f>G2048+W2048*I2045</f>
        <v>3924</v>
      </c>
      <c r="J2048" s="50">
        <f>H2048-W2049*J2045</f>
        <v>2447</v>
      </c>
      <c r="K2048" s="50" t="s">
        <v>22</v>
      </c>
      <c r="L2048" s="6">
        <f t="shared" ref="L2048:L2055" si="133">L2047</f>
        <v>-1</v>
      </c>
      <c r="M2048" s="49"/>
      <c r="N2048" s="49">
        <f>COUNT(S2048:CA2048)</f>
        <v>5</v>
      </c>
      <c r="O2048" s="50"/>
      <c r="P2048" s="49"/>
      <c r="Q2048" s="6">
        <v>3</v>
      </c>
      <c r="R2048" s="49"/>
      <c r="S2048" s="49">
        <v>0</v>
      </c>
      <c r="T2048" s="49">
        <v>86.4</v>
      </c>
      <c r="U2048" s="49">
        <v>216</v>
      </c>
      <c r="V2048" s="49">
        <v>250.56</v>
      </c>
      <c r="W2048" s="49">
        <v>302.39999999999998</v>
      </c>
    </row>
    <row r="2049" spans="1:23">
      <c r="D2049" s="48"/>
      <c r="E2049" s="54" t="s">
        <v>448</v>
      </c>
      <c r="G2049" s="36"/>
      <c r="K2049" s="50" t="s">
        <v>249</v>
      </c>
      <c r="L2049" s="6">
        <f t="shared" si="133"/>
        <v>-1</v>
      </c>
      <c r="M2049" s="49"/>
      <c r="N2049" s="48"/>
      <c r="P2049" s="49"/>
      <c r="Q2049" s="50">
        <v>2</v>
      </c>
      <c r="R2049" s="49"/>
      <c r="S2049" s="49">
        <v>0</v>
      </c>
      <c r="T2049" s="49">
        <v>36.72</v>
      </c>
      <c r="U2049" s="49">
        <v>36.72</v>
      </c>
      <c r="V2049" s="49">
        <v>42.12</v>
      </c>
      <c r="W2049" s="49">
        <v>42.12</v>
      </c>
    </row>
    <row r="2050" spans="1:23">
      <c r="D2050" s="49"/>
      <c r="E2050" s="48" t="s">
        <v>113</v>
      </c>
      <c r="F2050" s="6">
        <v>200</v>
      </c>
      <c r="G2050" s="50">
        <v>900</v>
      </c>
      <c r="H2050" s="50">
        <f>H2048+1800</f>
        <v>5300</v>
      </c>
      <c r="I2050" s="50">
        <f>G2050+W2050*I2045</f>
        <v>4410</v>
      </c>
      <c r="J2050" s="50">
        <f>H2050-W2051*J2045</f>
        <v>4388.75</v>
      </c>
      <c r="K2050" s="50" t="s">
        <v>22</v>
      </c>
      <c r="L2050" s="6">
        <f t="shared" si="133"/>
        <v>-1</v>
      </c>
      <c r="M2050" s="49"/>
      <c r="N2050" s="49">
        <f>COUNT(S2050:CA2050)</f>
        <v>5</v>
      </c>
      <c r="O2050" s="50"/>
      <c r="P2050" s="49"/>
      <c r="Q2050" s="50">
        <v>3</v>
      </c>
      <c r="R2050" s="49"/>
      <c r="S2050" s="49">
        <v>0</v>
      </c>
      <c r="T2050" s="49">
        <v>54</v>
      </c>
      <c r="U2050" s="49">
        <v>135</v>
      </c>
      <c r="V2050" s="49">
        <v>221.4</v>
      </c>
      <c r="W2050" s="49">
        <v>351</v>
      </c>
    </row>
    <row r="2051" spans="1:23">
      <c r="D2051" s="48"/>
      <c r="E2051" s="54" t="s">
        <v>448</v>
      </c>
      <c r="G2051" s="36"/>
      <c r="K2051" s="50" t="s">
        <v>250</v>
      </c>
      <c r="L2051" s="6">
        <f t="shared" si="133"/>
        <v>-1</v>
      </c>
      <c r="M2051" s="49"/>
      <c r="N2051" s="48"/>
      <c r="P2051" s="49"/>
      <c r="Q2051" s="50">
        <v>2</v>
      </c>
      <c r="R2051" s="49"/>
      <c r="S2051" s="49">
        <v>0</v>
      </c>
      <c r="T2051" s="49">
        <v>22.95</v>
      </c>
      <c r="U2051" s="49">
        <v>22.95</v>
      </c>
      <c r="V2051" s="49">
        <v>36.450000000000003</v>
      </c>
      <c r="W2051" s="49">
        <v>36.450000000000003</v>
      </c>
    </row>
    <row r="2052" spans="1:23">
      <c r="D2052" s="49"/>
      <c r="E2052" s="48" t="s">
        <v>113</v>
      </c>
      <c r="F2052" s="6">
        <v>200</v>
      </c>
      <c r="G2052" s="50">
        <v>900</v>
      </c>
      <c r="H2052" s="50">
        <f>H2050+1800</f>
        <v>7100</v>
      </c>
      <c r="I2052" s="50">
        <f>G2052+W2052*I2045</f>
        <v>4896</v>
      </c>
      <c r="J2052" s="50">
        <f>H2052-W2053*J2045</f>
        <v>6330.5</v>
      </c>
      <c r="K2052" s="50" t="s">
        <v>22</v>
      </c>
      <c r="L2052" s="6">
        <f t="shared" si="133"/>
        <v>-1</v>
      </c>
      <c r="M2052" s="49"/>
      <c r="N2052" s="49">
        <f>COUNT(S2052:CA2052)</f>
        <v>5</v>
      </c>
      <c r="O2052" s="50"/>
      <c r="P2052" s="49"/>
      <c r="Q2052" s="50">
        <v>3</v>
      </c>
      <c r="R2052" s="49"/>
      <c r="S2052" s="49">
        <v>0</v>
      </c>
      <c r="T2052" s="49">
        <v>21.6</v>
      </c>
      <c r="U2052" s="49">
        <v>54</v>
      </c>
      <c r="V2052" s="49">
        <v>192.24</v>
      </c>
      <c r="W2052" s="49">
        <v>399.6</v>
      </c>
    </row>
    <row r="2053" spans="1:23">
      <c r="D2053" s="48"/>
      <c r="E2053" s="54" t="s">
        <v>448</v>
      </c>
      <c r="G2053" s="36"/>
      <c r="K2053" s="50" t="s">
        <v>251</v>
      </c>
      <c r="L2053" s="6">
        <f t="shared" si="133"/>
        <v>-1</v>
      </c>
      <c r="M2053" s="49"/>
      <c r="N2053" s="48"/>
      <c r="P2053" s="49"/>
      <c r="Q2053" s="50">
        <v>2</v>
      </c>
      <c r="R2053" s="49"/>
      <c r="S2053" s="49">
        <v>0</v>
      </c>
      <c r="T2053" s="49">
        <v>9.18</v>
      </c>
      <c r="U2053" s="49">
        <v>9.18</v>
      </c>
      <c r="V2053" s="49">
        <v>30.78</v>
      </c>
      <c r="W2053" s="49">
        <v>30.78</v>
      </c>
    </row>
    <row r="2054" spans="1:23">
      <c r="D2054" s="49"/>
      <c r="E2054" s="48" t="s">
        <v>113</v>
      </c>
      <c r="F2054" s="6">
        <v>200</v>
      </c>
      <c r="G2054" s="50">
        <v>900</v>
      </c>
      <c r="H2054" s="50">
        <f>H2052+1800</f>
        <v>8900</v>
      </c>
      <c r="I2054" s="50">
        <f>G2054+U2054*I2045</f>
        <v>5220</v>
      </c>
      <c r="J2054" s="50">
        <f>H2054-U2055*J2045</f>
        <v>8225</v>
      </c>
      <c r="K2054" s="50" t="s">
        <v>22</v>
      </c>
      <c r="L2054" s="6">
        <f t="shared" si="133"/>
        <v>-1</v>
      </c>
      <c r="M2054" s="49"/>
      <c r="N2054" s="49">
        <f>COUNT(S2054:CA2054)</f>
        <v>3</v>
      </c>
      <c r="O2054" s="50"/>
      <c r="P2054" s="49"/>
      <c r="Q2054" s="50">
        <v>3</v>
      </c>
      <c r="R2054" s="49"/>
      <c r="S2054" s="49">
        <v>0</v>
      </c>
      <c r="T2054" s="49">
        <v>172.8</v>
      </c>
      <c r="U2054" s="49">
        <v>432</v>
      </c>
      <c r="V2054" s="49"/>
      <c r="W2054" s="49"/>
    </row>
    <row r="2055" spans="1:23">
      <c r="D2055" s="49">
        <f>F2055*2+4</f>
        <v>8</v>
      </c>
      <c r="E2055" s="49" t="s">
        <v>1</v>
      </c>
      <c r="F2055" s="50">
        <v>2</v>
      </c>
      <c r="G2055" s="50">
        <v>10</v>
      </c>
      <c r="H2055" s="50">
        <v>10</v>
      </c>
      <c r="I2055" s="50">
        <v>10</v>
      </c>
      <c r="J2055" s="50">
        <v>9390</v>
      </c>
      <c r="K2055" s="50" t="s">
        <v>248</v>
      </c>
      <c r="L2055" s="6">
        <f t="shared" si="133"/>
        <v>-1</v>
      </c>
      <c r="P2055" s="48"/>
      <c r="Q2055" s="50">
        <v>2</v>
      </c>
      <c r="R2055" s="49"/>
      <c r="S2055" s="49">
        <v>0</v>
      </c>
      <c r="T2055" s="49">
        <v>27</v>
      </c>
      <c r="U2055" s="49">
        <v>27</v>
      </c>
      <c r="V2055" s="49"/>
      <c r="W2055" s="49"/>
    </row>
    <row r="2058" spans="1:23">
      <c r="A2058" s="48" t="s">
        <v>383</v>
      </c>
      <c r="B2058" s="1" t="s">
        <v>253</v>
      </c>
      <c r="D2058" t="s">
        <v>449</v>
      </c>
      <c r="E2058">
        <v>52695</v>
      </c>
      <c r="F2058" s="6">
        <v>39622</v>
      </c>
      <c r="G2058" s="6">
        <v>0</v>
      </c>
      <c r="H2058" s="6">
        <v>0</v>
      </c>
      <c r="I2058" s="6">
        <v>0</v>
      </c>
      <c r="J2058" s="6">
        <v>11500</v>
      </c>
      <c r="K2058" s="6">
        <v>8400</v>
      </c>
      <c r="L2058" s="6">
        <v>1920</v>
      </c>
      <c r="M2058" s="6">
        <v>0</v>
      </c>
      <c r="N2058" s="6">
        <v>0</v>
      </c>
      <c r="O2058" s="6" t="e">
        <f ca="1">checksummeint(G2058,H2058,I2058,J2058,K2058,L2058,M2058,N2058)</f>
        <v>#NAME?</v>
      </c>
    </row>
    <row r="2059" spans="1:23">
      <c r="A2059" s="1"/>
      <c r="D2059">
        <v>28</v>
      </c>
      <c r="E2059" t="s">
        <v>12</v>
      </c>
      <c r="F2059" s="6">
        <v>360</v>
      </c>
      <c r="G2059" s="6">
        <v>0</v>
      </c>
      <c r="H2059" s="6">
        <v>0</v>
      </c>
      <c r="I2059" s="6">
        <v>0</v>
      </c>
      <c r="J2059" s="6">
        <v>400</v>
      </c>
      <c r="K2059" s="6">
        <v>0</v>
      </c>
      <c r="L2059" s="6">
        <v>0</v>
      </c>
      <c r="M2059" s="6">
        <v>0</v>
      </c>
      <c r="N2059" s="6">
        <v>0</v>
      </c>
      <c r="O2059" s="6" t="s">
        <v>19</v>
      </c>
    </row>
    <row r="2060" spans="1:23">
      <c r="D2060">
        <v>7</v>
      </c>
      <c r="E2060" t="s">
        <v>11</v>
      </c>
      <c r="F2060" s="6">
        <v>0</v>
      </c>
      <c r="G2060" s="6">
        <f>256*192+255</f>
        <v>49407</v>
      </c>
      <c r="H2060" s="6">
        <v>192</v>
      </c>
      <c r="I2060" s="6">
        <v>0</v>
      </c>
    </row>
    <row r="2061" spans="1:23">
      <c r="D2061">
        <v>5</v>
      </c>
      <c r="E2061" t="s">
        <v>59</v>
      </c>
      <c r="F2061" s="6">
        <v>1</v>
      </c>
      <c r="G2061" s="6">
        <v>0</v>
      </c>
      <c r="M2061" s="44"/>
      <c r="N2061" s="45"/>
      <c r="O2061" s="46"/>
    </row>
    <row r="2062" spans="1:23">
      <c r="D2062">
        <v>8</v>
      </c>
      <c r="E2062" t="s">
        <v>14</v>
      </c>
      <c r="F2062" s="6">
        <v>0</v>
      </c>
      <c r="G2062" s="6">
        <v>16</v>
      </c>
      <c r="H2062" s="6">
        <v>0</v>
      </c>
      <c r="I2062" s="6">
        <v>0</v>
      </c>
      <c r="J2062" s="6">
        <v>0</v>
      </c>
    </row>
    <row r="2063" spans="1:23">
      <c r="D2063">
        <v>8</v>
      </c>
      <c r="E2063" t="s">
        <v>14</v>
      </c>
      <c r="F2063" s="6">
        <v>0</v>
      </c>
      <c r="G2063" s="6">
        <v>40</v>
      </c>
      <c r="H2063" s="6">
        <v>0</v>
      </c>
      <c r="I2063" s="6">
        <v>0</v>
      </c>
      <c r="J2063" s="6">
        <v>0</v>
      </c>
    </row>
    <row r="2064" spans="1:23">
      <c r="D2064">
        <v>8</v>
      </c>
      <c r="E2064" t="s">
        <v>14</v>
      </c>
      <c r="F2064" s="6">
        <v>2</v>
      </c>
      <c r="G2064" s="6">
        <v>16</v>
      </c>
      <c r="H2064" s="6">
        <v>0</v>
      </c>
      <c r="I2064" s="6">
        <v>0</v>
      </c>
      <c r="J2064" s="6">
        <v>0</v>
      </c>
    </row>
    <row r="2065" spans="4:16">
      <c r="D2065">
        <v>7</v>
      </c>
      <c r="E2065" t="s">
        <v>11</v>
      </c>
      <c r="F2065" s="6">
        <v>0</v>
      </c>
      <c r="G2065" s="24">
        <f>255*256+192</f>
        <v>65472</v>
      </c>
      <c r="H2065" s="24">
        <v>192</v>
      </c>
      <c r="I2065" s="6">
        <v>0</v>
      </c>
    </row>
    <row r="2066" spans="4:16">
      <c r="D2066">
        <v>4</v>
      </c>
      <c r="E2066" t="s">
        <v>15</v>
      </c>
      <c r="F2066" s="6">
        <v>0</v>
      </c>
      <c r="J2066" s="24"/>
      <c r="K2066" s="24"/>
      <c r="L2066" s="24"/>
    </row>
    <row r="2067" spans="4:16">
      <c r="D2067">
        <v>4</v>
      </c>
      <c r="E2067" t="s">
        <v>15</v>
      </c>
      <c r="F2067" s="6">
        <v>2</v>
      </c>
      <c r="G2067" s="24"/>
      <c r="K2067" s="24"/>
      <c r="L2067" s="24"/>
      <c r="M2067" s="24"/>
      <c r="N2067" s="24"/>
      <c r="O2067" s="24"/>
      <c r="P2067" s="2"/>
    </row>
    <row r="2068" spans="4:16">
      <c r="D2068">
        <v>4</v>
      </c>
      <c r="E2068" t="s">
        <v>15</v>
      </c>
      <c r="F2068" s="6">
        <v>5</v>
      </c>
      <c r="G2068" s="36"/>
      <c r="K2068" s="24"/>
      <c r="L2068" s="24"/>
    </row>
    <row r="2069" spans="4:16">
      <c r="D2069" s="2">
        <f>ROUNDUP(6+F2069/2,0)</f>
        <v>18</v>
      </c>
      <c r="E2069" s="2" t="s">
        <v>6</v>
      </c>
      <c r="F2069" s="24">
        <f>LEN(G2069)</f>
        <v>24</v>
      </c>
      <c r="G2069" s="24" t="s">
        <v>256</v>
      </c>
      <c r="H2069" s="24">
        <v>50</v>
      </c>
      <c r="I2069" s="24">
        <v>50</v>
      </c>
      <c r="J2069" s="24"/>
      <c r="K2069" s="24"/>
      <c r="L2069" s="24"/>
      <c r="M2069" s="24"/>
      <c r="N2069" s="24"/>
      <c r="O2069" s="24"/>
      <c r="P2069" s="2"/>
    </row>
    <row r="2070" spans="4:16">
      <c r="D2070" s="2">
        <f>ROUNDUP(6+F2070/2,0)</f>
        <v>16</v>
      </c>
      <c r="E2070" s="2" t="s">
        <v>6</v>
      </c>
      <c r="F2070" s="24">
        <f>LEN(G2070)</f>
        <v>20</v>
      </c>
      <c r="G2070" s="24" t="s">
        <v>246</v>
      </c>
      <c r="H2070" s="24">
        <v>4550</v>
      </c>
      <c r="I2070" s="24">
        <v>50</v>
      </c>
      <c r="J2070" s="24"/>
      <c r="K2070" s="24"/>
      <c r="L2070" s="24"/>
      <c r="M2070" s="24"/>
      <c r="N2070" s="24"/>
      <c r="O2070" s="24"/>
      <c r="P2070" s="2"/>
    </row>
    <row r="2071" spans="4:16">
      <c r="D2071" s="2">
        <f>ROUNDUP(6+F2071/2,0)</f>
        <v>14</v>
      </c>
      <c r="E2071" s="2" t="s">
        <v>6</v>
      </c>
      <c r="F2071" s="24">
        <f>LEN(G2071)</f>
        <v>16</v>
      </c>
      <c r="G2071" s="24" t="s">
        <v>258</v>
      </c>
      <c r="H2071" s="24">
        <v>50</v>
      </c>
      <c r="I2071" s="24">
        <v>7750</v>
      </c>
      <c r="J2071" s="24"/>
      <c r="K2071" s="24"/>
      <c r="L2071" s="24"/>
      <c r="M2071" s="24"/>
      <c r="N2071" s="24"/>
      <c r="O2071" s="24"/>
      <c r="P2071" s="2"/>
    </row>
    <row r="2072" spans="4:16">
      <c r="D2072" s="2">
        <f>ROUNDUP(6+F2072/2,0)</f>
        <v>16</v>
      </c>
      <c r="E2072" s="2" t="s">
        <v>6</v>
      </c>
      <c r="F2072" s="24">
        <f>LEN(G2072)</f>
        <v>19</v>
      </c>
      <c r="G2072" s="24" t="s">
        <v>259</v>
      </c>
      <c r="H2072" s="24">
        <f>H2070</f>
        <v>4550</v>
      </c>
      <c r="I2072" s="24">
        <v>7750</v>
      </c>
      <c r="J2072" s="24"/>
      <c r="K2072" s="24"/>
      <c r="L2072" s="24"/>
      <c r="M2072" s="24"/>
      <c r="N2072" s="24"/>
      <c r="O2072" s="24"/>
      <c r="P2072" s="2"/>
    </row>
    <row r="2073" spans="4:16">
      <c r="D2073" s="2">
        <v>7</v>
      </c>
      <c r="E2073" s="2" t="s">
        <v>5</v>
      </c>
      <c r="F2073" s="24">
        <v>2700</v>
      </c>
      <c r="G2073" s="24">
        <v>1500</v>
      </c>
      <c r="H2073" s="24">
        <f>F2073-1950</f>
        <v>750</v>
      </c>
      <c r="I2073" s="24">
        <f>G2073-1450</f>
        <v>50</v>
      </c>
      <c r="K2073" s="24"/>
      <c r="L2073" s="24"/>
    </row>
    <row r="2074" spans="4:16">
      <c r="D2074" s="2">
        <v>7</v>
      </c>
      <c r="E2074" s="2" t="s">
        <v>5</v>
      </c>
      <c r="F2074" s="24">
        <f>F2073</f>
        <v>2700</v>
      </c>
      <c r="G2074" s="24">
        <f>G2073+1600</f>
        <v>3100</v>
      </c>
      <c r="H2074" s="24">
        <f>F2074-1950</f>
        <v>750</v>
      </c>
      <c r="I2074" s="24">
        <f>G2074-1450</f>
        <v>1650</v>
      </c>
      <c r="J2074" s="24"/>
      <c r="K2074" s="24"/>
      <c r="L2074" s="24"/>
      <c r="M2074" s="24"/>
      <c r="N2074" s="24"/>
      <c r="O2074" s="24"/>
      <c r="P2074" s="2"/>
    </row>
    <row r="2075" spans="4:16">
      <c r="D2075" s="2">
        <v>7</v>
      </c>
      <c r="E2075" s="2" t="s">
        <v>5</v>
      </c>
      <c r="F2075" s="24">
        <f>F2074</f>
        <v>2700</v>
      </c>
      <c r="G2075" s="24">
        <f>G2074+1600</f>
        <v>4700</v>
      </c>
      <c r="H2075" s="24">
        <f>F2075-1950</f>
        <v>750</v>
      </c>
      <c r="I2075" s="24">
        <f>G2075-1450</f>
        <v>3250</v>
      </c>
      <c r="J2075" s="24"/>
      <c r="K2075" s="24"/>
      <c r="L2075" s="24"/>
    </row>
    <row r="2076" spans="4:16">
      <c r="D2076" s="2">
        <v>7</v>
      </c>
      <c r="E2076" s="2" t="s">
        <v>5</v>
      </c>
      <c r="F2076" s="24">
        <f>F2074+4500</f>
        <v>7200</v>
      </c>
      <c r="G2076" s="24">
        <f>G2074</f>
        <v>3100</v>
      </c>
      <c r="H2076" s="24">
        <f>H2074+4500</f>
        <v>5250</v>
      </c>
      <c r="I2076" s="24">
        <f>I2074</f>
        <v>1650</v>
      </c>
      <c r="J2076" s="24"/>
      <c r="K2076" s="24"/>
      <c r="L2076" s="24"/>
    </row>
    <row r="2077" spans="4:16">
      <c r="D2077" s="2">
        <v>7</v>
      </c>
      <c r="E2077" s="2" t="s">
        <v>5</v>
      </c>
      <c r="F2077" s="24">
        <f>F2076</f>
        <v>7200</v>
      </c>
      <c r="G2077" s="24">
        <f>G2075</f>
        <v>4700</v>
      </c>
      <c r="H2077" s="24">
        <f>H2076</f>
        <v>5250</v>
      </c>
      <c r="I2077" s="24">
        <f>I2075</f>
        <v>3250</v>
      </c>
      <c r="J2077" s="24"/>
      <c r="K2077" s="24"/>
      <c r="L2077" s="24"/>
    </row>
    <row r="2078" spans="4:16">
      <c r="D2078" s="2">
        <v>7</v>
      </c>
      <c r="E2078" s="2" t="s">
        <v>5</v>
      </c>
      <c r="F2078" s="24">
        <f>F2075</f>
        <v>2700</v>
      </c>
      <c r="G2078" s="24">
        <f>G2075+4500</f>
        <v>9200</v>
      </c>
      <c r="H2078" s="24">
        <f>H2075</f>
        <v>750</v>
      </c>
      <c r="I2078" s="24">
        <f>I2075+4500</f>
        <v>7750</v>
      </c>
      <c r="J2078" s="24"/>
      <c r="K2078" s="24"/>
      <c r="L2078" s="24"/>
    </row>
    <row r="2079" spans="4:16">
      <c r="D2079" s="2">
        <v>7</v>
      </c>
      <c r="E2079" s="2" t="s">
        <v>5</v>
      </c>
      <c r="F2079" s="24">
        <f>F2076</f>
        <v>7200</v>
      </c>
      <c r="G2079" s="24">
        <f>G2076+6100</f>
        <v>9200</v>
      </c>
      <c r="H2079" s="24">
        <f>H2076</f>
        <v>5250</v>
      </c>
      <c r="I2079" s="24">
        <f>I2076+6100</f>
        <v>7750</v>
      </c>
      <c r="J2079" s="24"/>
      <c r="K2079" s="24"/>
      <c r="L2079" s="24"/>
    </row>
    <row r="2080" spans="4:16">
      <c r="D2080">
        <v>4</v>
      </c>
      <c r="E2080" t="s">
        <v>15</v>
      </c>
      <c r="F2080" s="6">
        <v>1</v>
      </c>
      <c r="G2080" s="24"/>
      <c r="H2080" s="24"/>
      <c r="I2080" s="24"/>
      <c r="J2080" s="24"/>
      <c r="K2080" s="24"/>
      <c r="L2080" s="24"/>
    </row>
    <row r="2081" spans="4:16">
      <c r="D2081" s="2">
        <v>7</v>
      </c>
      <c r="E2081" s="2" t="s">
        <v>5</v>
      </c>
      <c r="F2081" s="24">
        <f>F2077</f>
        <v>7200</v>
      </c>
      <c r="G2081" s="24">
        <f>G2077+6100</f>
        <v>10800</v>
      </c>
      <c r="H2081" s="24">
        <f>H2077</f>
        <v>5250</v>
      </c>
      <c r="I2081" s="24">
        <f>I2077+6100</f>
        <v>9350</v>
      </c>
      <c r="J2081" s="24"/>
      <c r="K2081" s="24"/>
      <c r="L2081" s="24"/>
    </row>
    <row r="2082" spans="4:16">
      <c r="D2082" s="2"/>
      <c r="E2082" s="24" t="s">
        <v>515</v>
      </c>
      <c r="F2082" s="24" t="s">
        <v>582</v>
      </c>
      <c r="G2082" s="24">
        <f>I2073</f>
        <v>50</v>
      </c>
      <c r="H2082" s="24">
        <f>H2073-300</f>
        <v>450</v>
      </c>
      <c r="I2082" s="24">
        <f>I2074</f>
        <v>1650</v>
      </c>
      <c r="J2082" s="24">
        <f>I2075</f>
        <v>3250</v>
      </c>
      <c r="L2082" s="24"/>
      <c r="M2082" s="24"/>
      <c r="N2082" s="24"/>
      <c r="O2082" s="24"/>
      <c r="P2082" s="2"/>
    </row>
    <row r="2083" spans="4:16">
      <c r="D2083" s="2">
        <f>ROUNDUP(6+F2083/2,0)</f>
        <v>10</v>
      </c>
      <c r="E2083" s="2" t="s">
        <v>6</v>
      </c>
      <c r="F2083" s="24">
        <f>LEN(G2083)</f>
        <v>7</v>
      </c>
      <c r="G2083" s="24" t="s">
        <v>254</v>
      </c>
      <c r="H2083" s="24">
        <f>H2082+4500</f>
        <v>4950</v>
      </c>
      <c r="I2083" s="24">
        <f>I2082</f>
        <v>1650</v>
      </c>
      <c r="J2083" s="24"/>
      <c r="K2083" s="24"/>
      <c r="L2083" s="24"/>
      <c r="M2083" s="24"/>
      <c r="N2083" s="24"/>
    </row>
    <row r="2084" spans="4:16">
      <c r="D2084" s="2">
        <f>ROUNDUP(6+F2084/2,0)</f>
        <v>10</v>
      </c>
      <c r="E2084" s="2" t="s">
        <v>6</v>
      </c>
      <c r="F2084" s="24">
        <f>LEN(G2084)</f>
        <v>7</v>
      </c>
      <c r="G2084" s="24" t="s">
        <v>255</v>
      </c>
      <c r="H2084" s="24">
        <f>H2082+4500</f>
        <v>4950</v>
      </c>
      <c r="I2084" s="24">
        <f>J2082</f>
        <v>3250</v>
      </c>
      <c r="J2084" s="24"/>
      <c r="K2084" s="24"/>
      <c r="L2084" s="24"/>
      <c r="M2084" s="24"/>
      <c r="N2084" s="24"/>
    </row>
    <row r="2085" spans="4:16">
      <c r="D2085" s="2">
        <f>F2085*2+4</f>
        <v>12</v>
      </c>
      <c r="E2085" s="2" t="s">
        <v>1</v>
      </c>
      <c r="F2085" s="24">
        <v>4</v>
      </c>
      <c r="G2085" s="24">
        <f>M2085</f>
        <v>5500</v>
      </c>
      <c r="H2085" s="24">
        <f>J2085</f>
        <v>750</v>
      </c>
      <c r="I2085" s="24">
        <f>K2085</f>
        <v>4850</v>
      </c>
      <c r="J2085" s="24">
        <f>L2085-1950</f>
        <v>750</v>
      </c>
      <c r="K2085" s="24">
        <f>M2085-650</f>
        <v>4850</v>
      </c>
      <c r="L2085" s="24">
        <f>F2075</f>
        <v>2700</v>
      </c>
      <c r="M2085" s="24">
        <f>G2075+800</f>
        <v>5500</v>
      </c>
      <c r="N2085" s="24">
        <f>L2085</f>
        <v>2700</v>
      </c>
    </row>
    <row r="2086" spans="4:16">
      <c r="D2086" s="2">
        <f>F2086*2+4</f>
        <v>12</v>
      </c>
      <c r="E2086" s="2" t="s">
        <v>1</v>
      </c>
      <c r="F2086" s="24">
        <v>4</v>
      </c>
      <c r="G2086" s="24">
        <f>G2085</f>
        <v>5500</v>
      </c>
      <c r="H2086" s="24">
        <f>H2085+4500</f>
        <v>5250</v>
      </c>
      <c r="I2086" s="24">
        <f>I2085</f>
        <v>4850</v>
      </c>
      <c r="J2086" s="24">
        <f>J2085+4500</f>
        <v>5250</v>
      </c>
      <c r="K2086" s="24">
        <f>K2085</f>
        <v>4850</v>
      </c>
      <c r="L2086" s="24">
        <f>L2085+4500</f>
        <v>7200</v>
      </c>
      <c r="M2086" s="24">
        <f>M2085</f>
        <v>5500</v>
      </c>
      <c r="N2086" s="24">
        <f>N2085+4500</f>
        <v>7200</v>
      </c>
    </row>
    <row r="2087" spans="4:16">
      <c r="D2087" s="2">
        <f>F2087*2+4</f>
        <v>12</v>
      </c>
      <c r="E2087" s="2" t="s">
        <v>1</v>
      </c>
      <c r="F2087" s="24">
        <v>4</v>
      </c>
      <c r="G2087" s="24">
        <f>G2085+4500</f>
        <v>10000</v>
      </c>
      <c r="H2087" s="24">
        <f>H2085</f>
        <v>750</v>
      </c>
      <c r="I2087" s="24">
        <f>I2085+4500</f>
        <v>9350</v>
      </c>
      <c r="J2087" s="24">
        <f>J2085</f>
        <v>750</v>
      </c>
      <c r="K2087" s="24">
        <f>K2085+4500</f>
        <v>9350</v>
      </c>
      <c r="L2087" s="24">
        <f>L2085</f>
        <v>2700</v>
      </c>
      <c r="M2087" s="24">
        <f>M2085+4500</f>
        <v>10000</v>
      </c>
      <c r="N2087" s="24">
        <f>N2085</f>
        <v>2700</v>
      </c>
    </row>
    <row r="2088" spans="4:16">
      <c r="D2088" s="2">
        <f>F2088*2+4</f>
        <v>8</v>
      </c>
      <c r="E2088" s="2" t="s">
        <v>1</v>
      </c>
      <c r="F2088" s="24">
        <v>2</v>
      </c>
      <c r="G2088" s="24">
        <v>0</v>
      </c>
      <c r="H2088" s="24">
        <v>4200</v>
      </c>
      <c r="I2088" s="24">
        <f>J2058</f>
        <v>11500</v>
      </c>
      <c r="J2088" s="24">
        <f>H2088</f>
        <v>4200</v>
      </c>
      <c r="K2088" s="24"/>
      <c r="L2088" s="24"/>
      <c r="M2088" s="24"/>
      <c r="N2088" s="24"/>
    </row>
    <row r="2089" spans="4:16">
      <c r="D2089" s="2">
        <f>F2089*2+4</f>
        <v>8</v>
      </c>
      <c r="E2089" s="2" t="s">
        <v>1</v>
      </c>
      <c r="F2089" s="24">
        <v>2</v>
      </c>
      <c r="G2089" s="24">
        <v>7200</v>
      </c>
      <c r="H2089" s="24">
        <v>0</v>
      </c>
      <c r="I2089" s="24">
        <f>G2089</f>
        <v>7200</v>
      </c>
      <c r="J2089" s="24">
        <f>K2058</f>
        <v>8400</v>
      </c>
      <c r="K2089" s="24"/>
      <c r="L2089" s="24"/>
      <c r="M2089" s="24"/>
      <c r="N2089" s="24"/>
    </row>
    <row r="2090" spans="4:16">
      <c r="D2090">
        <v>4</v>
      </c>
      <c r="E2090" t="s">
        <v>15</v>
      </c>
      <c r="F2090" s="6">
        <v>4</v>
      </c>
      <c r="G2090" s="24"/>
      <c r="H2090" s="24"/>
      <c r="I2090" s="24"/>
      <c r="J2090" s="24"/>
    </row>
    <row r="2091" spans="4:16">
      <c r="D2091" s="2">
        <f>F2091*2+4</f>
        <v>8</v>
      </c>
      <c r="E2091" s="2" t="s">
        <v>1</v>
      </c>
      <c r="F2091" s="24">
        <v>2</v>
      </c>
      <c r="G2091" s="24">
        <f>G2073+75</f>
        <v>1575</v>
      </c>
      <c r="H2091" s="24">
        <f>F2073+75</f>
        <v>2775</v>
      </c>
      <c r="I2091" s="24">
        <f>G2091</f>
        <v>1575</v>
      </c>
      <c r="J2091" s="24">
        <f>H2073-75</f>
        <v>675</v>
      </c>
    </row>
    <row r="2092" spans="4:16">
      <c r="D2092" s="2">
        <f>F2092*2+4</f>
        <v>8</v>
      </c>
      <c r="E2092" s="2" t="s">
        <v>1</v>
      </c>
      <c r="F2092" s="24">
        <v>2</v>
      </c>
      <c r="G2092" s="24">
        <f>G2074+75</f>
        <v>3175</v>
      </c>
      <c r="H2092" s="24">
        <f>F2074+75</f>
        <v>2775</v>
      </c>
      <c r="I2092" s="24">
        <f>G2092</f>
        <v>3175</v>
      </c>
      <c r="J2092" s="24">
        <f>H2074-75</f>
        <v>675</v>
      </c>
      <c r="K2092" s="24"/>
      <c r="L2092" s="24"/>
      <c r="M2092" s="24"/>
      <c r="N2092" s="24"/>
    </row>
    <row r="2093" spans="4:16">
      <c r="D2093" s="2">
        <f>F2093*2+4</f>
        <v>8</v>
      </c>
      <c r="E2093" s="2" t="s">
        <v>1</v>
      </c>
      <c r="F2093" s="24">
        <v>2</v>
      </c>
      <c r="G2093" s="24">
        <f>G2092</f>
        <v>3175</v>
      </c>
      <c r="H2093" s="24">
        <f>H2092+4500</f>
        <v>7275</v>
      </c>
      <c r="I2093" s="24">
        <f>I2092</f>
        <v>3175</v>
      </c>
      <c r="J2093" s="24">
        <f>J2092+4500</f>
        <v>5175</v>
      </c>
      <c r="K2093" s="24"/>
      <c r="L2093" s="24"/>
      <c r="M2093" s="24"/>
      <c r="N2093" s="24"/>
    </row>
    <row r="2094" spans="4:16">
      <c r="D2094">
        <v>4</v>
      </c>
      <c r="E2094" t="s">
        <v>15</v>
      </c>
      <c r="F2094" s="6">
        <v>3</v>
      </c>
      <c r="G2094" s="24"/>
      <c r="H2094" s="24"/>
      <c r="I2094" s="24"/>
      <c r="J2094" s="24"/>
      <c r="K2094" s="24"/>
    </row>
    <row r="2095" spans="4:16">
      <c r="D2095" s="2">
        <f>F2095*2+4</f>
        <v>8</v>
      </c>
      <c r="E2095" s="2" t="s">
        <v>1</v>
      </c>
      <c r="F2095" s="24">
        <v>2</v>
      </c>
      <c r="G2095" s="24">
        <f>G2075+75</f>
        <v>4775</v>
      </c>
      <c r="H2095" s="24">
        <f>F2075+75</f>
        <v>2775</v>
      </c>
      <c r="I2095" s="24">
        <f>G2095</f>
        <v>4775</v>
      </c>
      <c r="J2095" s="24">
        <f>H2075-75</f>
        <v>675</v>
      </c>
    </row>
    <row r="2096" spans="4:16">
      <c r="D2096" s="2">
        <f>F2096*2+4</f>
        <v>8</v>
      </c>
      <c r="E2096" s="2" t="s">
        <v>1</v>
      </c>
      <c r="F2096" s="24">
        <v>2</v>
      </c>
      <c r="G2096" s="24">
        <f>G2095</f>
        <v>4775</v>
      </c>
      <c r="H2096" s="24">
        <f>H2095+4500</f>
        <v>7275</v>
      </c>
      <c r="I2096" s="24">
        <f>I2095</f>
        <v>4775</v>
      </c>
      <c r="J2096" s="24">
        <f>J2095+4500</f>
        <v>5175</v>
      </c>
    </row>
    <row r="2097" spans="4:14">
      <c r="D2097" s="2">
        <f>F2097*2+4</f>
        <v>8</v>
      </c>
      <c r="E2097" s="2" t="s">
        <v>1</v>
      </c>
      <c r="F2097" s="24">
        <v>2</v>
      </c>
      <c r="G2097" s="24">
        <f>G2095+4500</f>
        <v>9275</v>
      </c>
      <c r="H2097" s="24">
        <f>H2095</f>
        <v>2775</v>
      </c>
      <c r="I2097" s="24">
        <f>I2095+4500</f>
        <v>9275</v>
      </c>
      <c r="J2097" s="24">
        <f>J2095</f>
        <v>675</v>
      </c>
    </row>
    <row r="2098" spans="4:14">
      <c r="D2098" s="2">
        <f>F2098*2+4</f>
        <v>8</v>
      </c>
      <c r="E2098" s="2" t="s">
        <v>1</v>
      </c>
      <c r="F2098" s="24">
        <v>2</v>
      </c>
      <c r="G2098" s="24">
        <f>G2097</f>
        <v>9275</v>
      </c>
      <c r="H2098" s="24">
        <f>H2096</f>
        <v>7275</v>
      </c>
      <c r="I2098" s="24">
        <f>I2097</f>
        <v>9275</v>
      </c>
      <c r="J2098" s="24">
        <f>J2096</f>
        <v>5175</v>
      </c>
    </row>
    <row r="2099" spans="4:14">
      <c r="D2099">
        <v>4</v>
      </c>
      <c r="E2099" t="s">
        <v>15</v>
      </c>
      <c r="F2099" s="6">
        <v>2</v>
      </c>
      <c r="G2099" s="24"/>
      <c r="H2099" s="24"/>
      <c r="I2099" s="24"/>
      <c r="J2099" s="24"/>
    </row>
    <row r="2100" spans="4:14">
      <c r="D2100" s="2">
        <f>F2100*2+4</f>
        <v>8</v>
      </c>
      <c r="E2100" s="2" t="s">
        <v>1</v>
      </c>
      <c r="F2100" s="24">
        <v>2</v>
      </c>
      <c r="G2100" s="24">
        <f>G2074</f>
        <v>3100</v>
      </c>
      <c r="H2100" s="24">
        <f>F2074/2+H2074/2</f>
        <v>1725</v>
      </c>
      <c r="I2100" s="24">
        <f>I2074</f>
        <v>1650</v>
      </c>
      <c r="J2100" s="24">
        <f>H2100</f>
        <v>1725</v>
      </c>
    </row>
    <row r="2101" spans="4:14">
      <c r="D2101" s="2">
        <f>F2101*2+4</f>
        <v>8</v>
      </c>
      <c r="E2101" s="2" t="s">
        <v>1</v>
      </c>
      <c r="F2101" s="24">
        <v>2</v>
      </c>
      <c r="G2101" s="24">
        <f>G2100+4500+1600</f>
        <v>9200</v>
      </c>
      <c r="H2101" s="24">
        <f>H2100</f>
        <v>1725</v>
      </c>
      <c r="I2101" s="24">
        <f>I2100+4500+1600</f>
        <v>7750</v>
      </c>
      <c r="J2101" s="24">
        <f>J2100</f>
        <v>1725</v>
      </c>
    </row>
    <row r="2102" spans="4:14">
      <c r="D2102" s="2">
        <f>F2102*2+4</f>
        <v>10</v>
      </c>
      <c r="E2102" s="2" t="s">
        <v>1</v>
      </c>
      <c r="F2102" s="24">
        <v>3</v>
      </c>
      <c r="G2102" s="24">
        <v>5000</v>
      </c>
      <c r="H2102" s="24">
        <v>2500</v>
      </c>
      <c r="I2102" s="24">
        <f>G2102+500</f>
        <v>5500</v>
      </c>
      <c r="J2102" s="24">
        <f>H2102+500</f>
        <v>3000</v>
      </c>
      <c r="K2102" s="24">
        <f>I2102+300</f>
        <v>5800</v>
      </c>
      <c r="L2102" s="24">
        <f>J2102</f>
        <v>3000</v>
      </c>
      <c r="M2102" s="24"/>
      <c r="N2102" s="24"/>
    </row>
    <row r="2103" spans="4:14">
      <c r="D2103" s="2"/>
      <c r="E2103" s="6" t="s">
        <v>517</v>
      </c>
      <c r="F2103" s="6" t="s">
        <v>583</v>
      </c>
      <c r="G2103" s="24">
        <f>K2102+20</f>
        <v>5820</v>
      </c>
      <c r="H2103" s="24">
        <f>L2102-150</f>
        <v>2850</v>
      </c>
      <c r="I2103" s="24">
        <f>L2104-150</f>
        <v>3150</v>
      </c>
      <c r="J2103" s="24">
        <f>L2105-150</f>
        <v>3450</v>
      </c>
      <c r="K2103" s="24">
        <f>L2110-150</f>
        <v>7350</v>
      </c>
      <c r="L2103" s="24">
        <f>L2111-150</f>
        <v>7650</v>
      </c>
      <c r="M2103" s="24">
        <f>L2112-150</f>
        <v>7950</v>
      </c>
    </row>
    <row r="2104" spans="4:14">
      <c r="D2104" s="2">
        <f>F2104*2+4</f>
        <v>10</v>
      </c>
      <c r="E2104" s="2" t="s">
        <v>1</v>
      </c>
      <c r="F2104" s="24">
        <v>3</v>
      </c>
      <c r="G2104" s="24">
        <v>4775</v>
      </c>
      <c r="H2104" s="24">
        <v>2700</v>
      </c>
      <c r="I2104" s="24">
        <f>I2102</f>
        <v>5500</v>
      </c>
      <c r="J2104" s="24">
        <f>J2102+300</f>
        <v>3300</v>
      </c>
      <c r="K2104" s="24">
        <f>I2104+300</f>
        <v>5800</v>
      </c>
      <c r="L2104" s="24">
        <f>J2104</f>
        <v>3300</v>
      </c>
    </row>
    <row r="2105" spans="4:14">
      <c r="D2105" s="2">
        <f>F2105*2+4</f>
        <v>10</v>
      </c>
      <c r="E2105" s="2" t="s">
        <v>1</v>
      </c>
      <c r="F2105" s="24">
        <v>3</v>
      </c>
      <c r="G2105" s="24">
        <v>4000</v>
      </c>
      <c r="H2105" s="24">
        <v>2500</v>
      </c>
      <c r="I2105" s="24">
        <f>I2104</f>
        <v>5500</v>
      </c>
      <c r="J2105" s="24">
        <f>J2104+300</f>
        <v>3600</v>
      </c>
      <c r="K2105" s="24">
        <f>I2105+300</f>
        <v>5800</v>
      </c>
      <c r="L2105" s="24">
        <f>J2105</f>
        <v>3600</v>
      </c>
    </row>
    <row r="2106" spans="4:14">
      <c r="D2106" s="2">
        <f>F2106*2+4</f>
        <v>10</v>
      </c>
      <c r="E2106" s="2" t="s">
        <v>1</v>
      </c>
      <c r="F2106" s="24">
        <v>3</v>
      </c>
      <c r="G2106" s="24">
        <v>2600</v>
      </c>
      <c r="H2106" s="24">
        <v>2500</v>
      </c>
      <c r="I2106" s="24">
        <f>G2106+500</f>
        <v>3100</v>
      </c>
      <c r="J2106" s="24">
        <f>H2106+500</f>
        <v>3000</v>
      </c>
      <c r="K2106" s="24">
        <f>I2106+300</f>
        <v>3400</v>
      </c>
      <c r="L2106" s="24">
        <f>J2106</f>
        <v>3000</v>
      </c>
    </row>
    <row r="2107" spans="4:14">
      <c r="D2107" s="2"/>
      <c r="E2107" s="6" t="s">
        <v>517</v>
      </c>
      <c r="F2107" s="6" t="s">
        <v>584</v>
      </c>
      <c r="G2107" s="24">
        <f>K2106+20</f>
        <v>3420</v>
      </c>
      <c r="H2107" s="24">
        <f>L2106-150</f>
        <v>2850</v>
      </c>
      <c r="I2107" s="24">
        <f>H2107+300</f>
        <v>3150</v>
      </c>
      <c r="J2107" s="24">
        <f>L2113-150</f>
        <v>7350</v>
      </c>
    </row>
    <row r="2108" spans="4:14">
      <c r="D2108" s="2">
        <f>F2108*2+4</f>
        <v>10</v>
      </c>
      <c r="E2108" s="2" t="s">
        <v>1</v>
      </c>
      <c r="F2108" s="24">
        <v>3</v>
      </c>
      <c r="G2108" s="24">
        <v>500</v>
      </c>
      <c r="H2108" s="24">
        <v>2500</v>
      </c>
      <c r="I2108" s="24">
        <f>G2108+500</f>
        <v>1000</v>
      </c>
      <c r="J2108" s="24">
        <f>H2108+500</f>
        <v>3000</v>
      </c>
      <c r="K2108" s="24">
        <f>I2108+300</f>
        <v>1300</v>
      </c>
      <c r="L2108" s="24">
        <f>J2108</f>
        <v>3000</v>
      </c>
    </row>
    <row r="2109" spans="4:14">
      <c r="D2109" s="2">
        <f>ROUNDUP(6+F2109/2,0)</f>
        <v>10</v>
      </c>
      <c r="E2109" s="2" t="s">
        <v>6</v>
      </c>
      <c r="F2109" s="24">
        <f>LEN(G2109)</f>
        <v>8</v>
      </c>
      <c r="G2109" s="24" t="s">
        <v>257</v>
      </c>
      <c r="H2109" s="24">
        <f>L2108-150</f>
        <v>2850</v>
      </c>
      <c r="I2109" s="24">
        <f>K2108+20</f>
        <v>1320</v>
      </c>
    </row>
    <row r="2110" spans="4:14">
      <c r="D2110" s="2">
        <f>F2110*2+4</f>
        <v>10</v>
      </c>
      <c r="E2110" s="2" t="s">
        <v>1</v>
      </c>
      <c r="F2110" s="24">
        <v>3</v>
      </c>
      <c r="G2110" s="24">
        <v>5000</v>
      </c>
      <c r="H2110" s="24">
        <v>7000</v>
      </c>
      <c r="I2110" s="24">
        <f>G2110+500</f>
        <v>5500</v>
      </c>
      <c r="J2110" s="24">
        <f>H2110+500</f>
        <v>7500</v>
      </c>
      <c r="K2110" s="24">
        <f>I2110+300</f>
        <v>5800</v>
      </c>
      <c r="L2110" s="24">
        <f>J2110</f>
        <v>7500</v>
      </c>
    </row>
    <row r="2111" spans="4:14">
      <c r="D2111" s="2">
        <f>F2111*2+4</f>
        <v>10</v>
      </c>
      <c r="E2111" s="2" t="s">
        <v>1</v>
      </c>
      <c r="F2111" s="24">
        <v>3</v>
      </c>
      <c r="G2111" s="24">
        <v>4775</v>
      </c>
      <c r="H2111" s="24">
        <v>7200</v>
      </c>
      <c r="I2111" s="24">
        <f>I2110</f>
        <v>5500</v>
      </c>
      <c r="J2111" s="24">
        <f>J2110+300</f>
        <v>7800</v>
      </c>
      <c r="K2111" s="24">
        <f>I2111+300</f>
        <v>5800</v>
      </c>
      <c r="L2111" s="24">
        <f>J2111</f>
        <v>7800</v>
      </c>
    </row>
    <row r="2112" spans="4:14">
      <c r="D2112" s="2">
        <f>F2112*2+4</f>
        <v>10</v>
      </c>
      <c r="E2112" s="2" t="s">
        <v>1</v>
      </c>
      <c r="F2112" s="24">
        <v>3</v>
      </c>
      <c r="G2112" s="24">
        <v>4000</v>
      </c>
      <c r="H2112" s="24">
        <v>7000</v>
      </c>
      <c r="I2112" s="24">
        <f>I2111</f>
        <v>5500</v>
      </c>
      <c r="J2112" s="24">
        <f>J2111+300</f>
        <v>8100</v>
      </c>
      <c r="K2112" s="24">
        <f>I2112+300</f>
        <v>5800</v>
      </c>
      <c r="L2112" s="24">
        <f>J2112</f>
        <v>8100</v>
      </c>
    </row>
    <row r="2113" spans="1:25">
      <c r="D2113" s="2">
        <f>F2113*2+4</f>
        <v>10</v>
      </c>
      <c r="E2113" s="2" t="s">
        <v>1</v>
      </c>
      <c r="F2113" s="24">
        <v>3</v>
      </c>
      <c r="G2113" s="24">
        <v>2600</v>
      </c>
      <c r="H2113" s="24">
        <v>7000</v>
      </c>
      <c r="I2113" s="24">
        <f>G2113+500</f>
        <v>3100</v>
      </c>
      <c r="J2113" s="24">
        <f>H2113+500</f>
        <v>7500</v>
      </c>
      <c r="K2113" s="24">
        <f>I2113+300</f>
        <v>3400</v>
      </c>
      <c r="L2113" s="24">
        <f>J2113</f>
        <v>7500</v>
      </c>
    </row>
    <row r="2114" spans="1:25">
      <c r="D2114" s="2">
        <f>F2114*2+4</f>
        <v>10</v>
      </c>
      <c r="E2114" s="2" t="s">
        <v>1</v>
      </c>
      <c r="F2114" s="24">
        <v>3</v>
      </c>
      <c r="G2114" s="24">
        <v>9500</v>
      </c>
      <c r="H2114" s="24">
        <v>2500</v>
      </c>
      <c r="I2114" s="24">
        <f>G2114+500</f>
        <v>10000</v>
      </c>
      <c r="J2114" s="24">
        <f>H2114+500</f>
        <v>3000</v>
      </c>
      <c r="K2114" s="24">
        <f>I2114+300</f>
        <v>10300</v>
      </c>
      <c r="L2114" s="24">
        <f>J2114</f>
        <v>3000</v>
      </c>
    </row>
    <row r="2115" spans="1:25">
      <c r="D2115" s="2"/>
      <c r="E2115" s="6" t="s">
        <v>517</v>
      </c>
      <c r="F2115" s="6" t="s">
        <v>585</v>
      </c>
      <c r="G2115" s="24">
        <f>K2114+20</f>
        <v>10320</v>
      </c>
      <c r="H2115" s="24">
        <f>L2114-150</f>
        <v>2850</v>
      </c>
      <c r="I2115" s="24">
        <f>L2116-150</f>
        <v>3150</v>
      </c>
      <c r="J2115" s="24">
        <f>L2117-150</f>
        <v>3450</v>
      </c>
      <c r="K2115" s="24">
        <f>L2121-150</f>
        <v>7350</v>
      </c>
      <c r="L2115" s="24">
        <f>L2122-150</f>
        <v>7650</v>
      </c>
    </row>
    <row r="2116" spans="1:25">
      <c r="D2116" s="2">
        <f>F2116*2+4</f>
        <v>10</v>
      </c>
      <c r="E2116" s="2" t="s">
        <v>1</v>
      </c>
      <c r="F2116" s="24">
        <v>3</v>
      </c>
      <c r="G2116" s="24">
        <v>9275</v>
      </c>
      <c r="H2116" s="24">
        <v>2700</v>
      </c>
      <c r="I2116" s="24">
        <f>I2114</f>
        <v>10000</v>
      </c>
      <c r="J2116" s="24">
        <f>J2114+300</f>
        <v>3300</v>
      </c>
      <c r="K2116" s="24">
        <f>I2116+300</f>
        <v>10300</v>
      </c>
      <c r="L2116" s="24">
        <f>J2116</f>
        <v>3300</v>
      </c>
    </row>
    <row r="2117" spans="1:25">
      <c r="A2117" s="2"/>
      <c r="B2117" s="2"/>
      <c r="C2117" s="2"/>
      <c r="D2117" s="2">
        <f>F2117*2+4</f>
        <v>10</v>
      </c>
      <c r="E2117" s="2" t="s">
        <v>1</v>
      </c>
      <c r="F2117" s="24">
        <v>3</v>
      </c>
      <c r="G2117" s="24">
        <v>8500</v>
      </c>
      <c r="H2117" s="24">
        <v>2500</v>
      </c>
      <c r="I2117" s="24">
        <f>I2116</f>
        <v>10000</v>
      </c>
      <c r="J2117" s="24">
        <f>J2116+300</f>
        <v>3600</v>
      </c>
      <c r="K2117" s="24">
        <f>I2117+300</f>
        <v>10300</v>
      </c>
      <c r="L2117" s="24">
        <f>J2117</f>
        <v>3600</v>
      </c>
      <c r="M2117" s="24"/>
      <c r="N2117" s="24"/>
      <c r="O2117" s="24"/>
      <c r="P2117" s="2"/>
    </row>
    <row r="2118" spans="1:25">
      <c r="A2118" s="2"/>
      <c r="B2118" s="2"/>
      <c r="C2118" s="2"/>
      <c r="D2118" s="2">
        <f>F2118*2+4</f>
        <v>10</v>
      </c>
      <c r="E2118" s="2" t="s">
        <v>1</v>
      </c>
      <c r="F2118" s="24">
        <v>3</v>
      </c>
      <c r="G2118" s="24">
        <v>8500</v>
      </c>
      <c r="H2118" s="24">
        <v>1000</v>
      </c>
      <c r="I2118" s="24">
        <v>9000</v>
      </c>
      <c r="J2118" s="24">
        <v>500</v>
      </c>
      <c r="K2118" s="24">
        <f>I2118+300</f>
        <v>9300</v>
      </c>
      <c r="L2118" s="24">
        <f>J2118</f>
        <v>500</v>
      </c>
      <c r="M2118" s="24"/>
      <c r="N2118" s="24"/>
      <c r="O2118" s="24"/>
      <c r="P2118" s="2"/>
    </row>
    <row r="2119" spans="1:25">
      <c r="A2119" s="2"/>
      <c r="B2119" s="2"/>
      <c r="C2119" s="2"/>
      <c r="D2119" s="2"/>
      <c r="E2119" s="6" t="s">
        <v>517</v>
      </c>
      <c r="F2119" s="6" t="s">
        <v>586</v>
      </c>
      <c r="G2119" s="24">
        <f>K2118+20</f>
        <v>9320</v>
      </c>
      <c r="H2119" s="24">
        <f>L2118-150</f>
        <v>350</v>
      </c>
      <c r="I2119" s="24">
        <f>L2120-150</f>
        <v>4850</v>
      </c>
      <c r="M2119" s="24"/>
      <c r="N2119" s="24"/>
      <c r="O2119" s="24"/>
      <c r="P2119" s="2"/>
    </row>
    <row r="2120" spans="1:25">
      <c r="A2120" s="2"/>
      <c r="B2120" s="2"/>
      <c r="C2120" s="2"/>
      <c r="D2120" s="2">
        <f>F2120*2+4</f>
        <v>10</v>
      </c>
      <c r="E2120" s="2" t="s">
        <v>1</v>
      </c>
      <c r="F2120" s="24">
        <v>3</v>
      </c>
      <c r="G2120" s="24">
        <v>8500</v>
      </c>
      <c r="H2120" s="24">
        <v>5500</v>
      </c>
      <c r="I2120" s="24">
        <v>9000</v>
      </c>
      <c r="J2120" s="24">
        <v>5000</v>
      </c>
      <c r="K2120" s="24">
        <f>I2120+300</f>
        <v>9300</v>
      </c>
      <c r="L2120" s="24">
        <f>J2120</f>
        <v>5000</v>
      </c>
      <c r="M2120" s="24"/>
      <c r="N2120" s="24"/>
      <c r="O2120" s="24"/>
      <c r="P2120" s="2"/>
    </row>
    <row r="2121" spans="1:25">
      <c r="A2121" s="2"/>
      <c r="B2121" s="2"/>
      <c r="C2121" s="2"/>
      <c r="D2121" s="2">
        <f>F2121*2+4</f>
        <v>10</v>
      </c>
      <c r="E2121" s="2" t="s">
        <v>1</v>
      </c>
      <c r="F2121" s="24">
        <v>3</v>
      </c>
      <c r="G2121" s="24">
        <v>9500</v>
      </c>
      <c r="H2121" s="24">
        <v>7000</v>
      </c>
      <c r="I2121" s="24">
        <f>G2121+500</f>
        <v>10000</v>
      </c>
      <c r="J2121" s="24">
        <f>H2121+500</f>
        <v>7500</v>
      </c>
      <c r="K2121" s="24">
        <f>I2121+300</f>
        <v>10300</v>
      </c>
      <c r="L2121" s="24">
        <f>J2121</f>
        <v>7500</v>
      </c>
      <c r="M2121" s="24"/>
      <c r="N2121" s="24"/>
      <c r="O2121" s="24"/>
      <c r="P2121" s="2"/>
    </row>
    <row r="2122" spans="1:25">
      <c r="A2122" s="2"/>
      <c r="B2122" s="2"/>
      <c r="C2122" s="2"/>
      <c r="D2122" s="2">
        <f>F2122*2+4</f>
        <v>10</v>
      </c>
      <c r="E2122" s="2" t="s">
        <v>1</v>
      </c>
      <c r="F2122" s="24">
        <v>3</v>
      </c>
      <c r="G2122" s="24">
        <f>G2121-225</f>
        <v>9275</v>
      </c>
      <c r="H2122" s="24">
        <f>H2121+200</f>
        <v>7200</v>
      </c>
      <c r="I2122" s="24">
        <f>I2121</f>
        <v>10000</v>
      </c>
      <c r="J2122" s="24">
        <f>J2121+300</f>
        <v>7800</v>
      </c>
      <c r="K2122" s="24">
        <f>I2122+300</f>
        <v>10300</v>
      </c>
      <c r="L2122" s="24">
        <f>J2122</f>
        <v>7800</v>
      </c>
      <c r="M2122" s="24"/>
      <c r="N2122" s="24"/>
      <c r="O2122" s="24"/>
      <c r="P2122" s="2"/>
    </row>
    <row r="2125" spans="1:25">
      <c r="A2125" s="48" t="s">
        <v>383</v>
      </c>
      <c r="B2125" s="1" t="s">
        <v>801</v>
      </c>
      <c r="D2125" s="48" t="s">
        <v>449</v>
      </c>
      <c r="E2125" s="48">
        <v>52695</v>
      </c>
      <c r="F2125" s="6">
        <v>39622</v>
      </c>
      <c r="G2125" s="6">
        <v>0</v>
      </c>
      <c r="H2125" s="6">
        <v>0</v>
      </c>
      <c r="I2125" s="6">
        <v>0</v>
      </c>
      <c r="J2125" s="6">
        <v>11800</v>
      </c>
      <c r="K2125" s="6">
        <v>3300</v>
      </c>
      <c r="L2125" s="6">
        <v>1920</v>
      </c>
      <c r="M2125" s="6">
        <v>0</v>
      </c>
      <c r="N2125" s="6">
        <v>0</v>
      </c>
      <c r="O2125" s="6" t="e">
        <f ca="1">checksummeint(G2125,H2125,I2125,J2125,K2125,L2125,M2125,N2125)</f>
        <v>#NAME?</v>
      </c>
      <c r="P2125" s="48"/>
      <c r="Q2125" s="48"/>
      <c r="R2125" s="48"/>
      <c r="S2125" s="48"/>
      <c r="T2125" s="48"/>
      <c r="U2125" s="48"/>
      <c r="V2125" s="48"/>
      <c r="W2125" s="48"/>
      <c r="X2125" s="49"/>
      <c r="Y2125" s="49"/>
    </row>
    <row r="2126" spans="1:25">
      <c r="A2126" s="1"/>
      <c r="D2126" s="48">
        <v>28</v>
      </c>
      <c r="E2126" s="48" t="s">
        <v>12</v>
      </c>
      <c r="F2126" s="6">
        <v>360</v>
      </c>
      <c r="G2126" s="6">
        <v>0</v>
      </c>
      <c r="H2126" s="6">
        <v>0</v>
      </c>
      <c r="I2126" s="6">
        <v>0</v>
      </c>
      <c r="J2126" s="6">
        <v>400</v>
      </c>
      <c r="K2126" s="6">
        <v>0</v>
      </c>
      <c r="L2126" s="6">
        <v>0</v>
      </c>
      <c r="M2126" s="6">
        <v>0</v>
      </c>
      <c r="N2126" s="6">
        <v>0</v>
      </c>
      <c r="O2126" s="6" t="s">
        <v>19</v>
      </c>
      <c r="P2126" s="48"/>
      <c r="Q2126" s="48"/>
      <c r="R2126" s="48"/>
      <c r="S2126" s="48"/>
      <c r="T2126" s="48"/>
      <c r="U2126" s="48"/>
      <c r="V2126" s="48"/>
      <c r="W2126" s="48"/>
      <c r="X2126" s="49"/>
      <c r="Y2126" s="49"/>
    </row>
    <row r="2127" spans="1:25">
      <c r="D2127" s="48">
        <v>5</v>
      </c>
      <c r="E2127" s="48" t="s">
        <v>59</v>
      </c>
      <c r="F2127" s="6">
        <v>1</v>
      </c>
      <c r="G2127" s="6">
        <v>0</v>
      </c>
      <c r="P2127" s="48"/>
      <c r="Q2127" s="48"/>
      <c r="R2127" s="48"/>
      <c r="S2127" s="48"/>
      <c r="T2127" s="48"/>
      <c r="U2127" s="48"/>
      <c r="V2127" s="48"/>
      <c r="W2127" s="48"/>
      <c r="X2127" s="49"/>
      <c r="Y2127" s="49"/>
    </row>
    <row r="2128" spans="1:25">
      <c r="D2128" s="48">
        <v>8</v>
      </c>
      <c r="E2128" s="48" t="s">
        <v>14</v>
      </c>
      <c r="F2128" s="6">
        <v>0</v>
      </c>
      <c r="G2128" s="6">
        <v>16</v>
      </c>
      <c r="H2128" s="6">
        <v>0</v>
      </c>
      <c r="I2128" s="6">
        <v>0</v>
      </c>
      <c r="J2128" s="6">
        <v>0</v>
      </c>
      <c r="M2128" s="44"/>
      <c r="N2128" s="45"/>
      <c r="O2128" s="46"/>
      <c r="P2128" s="48"/>
      <c r="Q2128" s="48"/>
      <c r="R2128" s="48"/>
      <c r="S2128" s="48"/>
      <c r="T2128" s="48"/>
      <c r="U2128" s="48"/>
      <c r="V2128" s="48"/>
      <c r="W2128" s="48"/>
      <c r="X2128" s="49"/>
      <c r="Y2128" s="49"/>
    </row>
    <row r="2129" spans="4:25">
      <c r="D2129" s="48">
        <v>7</v>
      </c>
      <c r="E2129" s="48" t="s">
        <v>11</v>
      </c>
      <c r="F2129" s="6">
        <v>0</v>
      </c>
      <c r="G2129" s="6">
        <f>256*192+255</f>
        <v>49407</v>
      </c>
      <c r="H2129" s="6">
        <v>192</v>
      </c>
      <c r="I2129" s="6">
        <v>0</v>
      </c>
      <c r="P2129" s="48"/>
      <c r="Q2129" s="48"/>
      <c r="R2129" s="48"/>
      <c r="S2129" s="48"/>
      <c r="T2129" s="48"/>
      <c r="U2129" s="48"/>
      <c r="V2129" s="48"/>
      <c r="W2129" s="48"/>
      <c r="X2129" s="49"/>
      <c r="Y2129" s="49"/>
    </row>
    <row r="2130" spans="4:25">
      <c r="D2130" s="48">
        <v>7</v>
      </c>
      <c r="E2130" s="48" t="s">
        <v>11</v>
      </c>
      <c r="F2130" s="6">
        <v>0</v>
      </c>
      <c r="G2130" s="6">
        <v>0</v>
      </c>
      <c r="H2130" s="6">
        <v>0</v>
      </c>
      <c r="I2130" s="6">
        <v>0</v>
      </c>
      <c r="P2130" s="48"/>
      <c r="Q2130" s="48"/>
      <c r="R2130" s="48"/>
      <c r="S2130" s="48"/>
      <c r="T2130" s="48"/>
      <c r="U2130" s="48"/>
      <c r="V2130" s="48"/>
      <c r="W2130" s="48"/>
      <c r="X2130" s="49"/>
      <c r="Y2130" s="49"/>
    </row>
    <row r="2131" spans="4:25">
      <c r="D2131" s="48">
        <v>7</v>
      </c>
      <c r="E2131" s="48" t="s">
        <v>11</v>
      </c>
      <c r="F2131" s="6">
        <v>0</v>
      </c>
      <c r="G2131" s="6">
        <f>257*192</f>
        <v>49344</v>
      </c>
      <c r="H2131" s="6">
        <v>255</v>
      </c>
      <c r="I2131" s="6">
        <v>0</v>
      </c>
      <c r="P2131" s="48"/>
      <c r="Q2131" s="48"/>
      <c r="R2131" s="48"/>
      <c r="S2131" s="48"/>
      <c r="T2131" s="48"/>
      <c r="U2131" s="48"/>
      <c r="V2131" s="48"/>
      <c r="W2131" s="48"/>
      <c r="X2131" s="49"/>
      <c r="Y2131" s="49"/>
    </row>
    <row r="2132" spans="4:25">
      <c r="D2132" s="48">
        <v>4</v>
      </c>
      <c r="E2132" s="48" t="s">
        <v>15</v>
      </c>
      <c r="F2132" s="6">
        <v>0</v>
      </c>
      <c r="G2132" s="50"/>
      <c r="P2132" s="48"/>
      <c r="Q2132" s="48"/>
      <c r="R2132" s="48"/>
      <c r="S2132" s="48"/>
      <c r="T2132" s="48"/>
      <c r="U2132" s="48"/>
      <c r="V2132" s="48"/>
      <c r="W2132" s="48"/>
      <c r="X2132" s="49"/>
      <c r="Y2132" s="49"/>
    </row>
    <row r="2133" spans="4:25">
      <c r="D2133" s="48">
        <v>4</v>
      </c>
      <c r="E2133" s="48" t="s">
        <v>15</v>
      </c>
      <c r="F2133" s="6">
        <v>1</v>
      </c>
      <c r="P2133" s="48"/>
      <c r="Q2133" s="48"/>
      <c r="R2133" s="48"/>
      <c r="S2133" s="48"/>
      <c r="T2133" s="48"/>
      <c r="U2133" s="48"/>
      <c r="V2133" s="48"/>
      <c r="W2133" s="48"/>
      <c r="X2133" s="49"/>
      <c r="Y2133" s="49"/>
    </row>
    <row r="2134" spans="4:25">
      <c r="D2134" s="48"/>
      <c r="E2134" s="48" t="s">
        <v>113</v>
      </c>
      <c r="F2134" s="6">
        <v>200</v>
      </c>
      <c r="G2134" s="50">
        <v>700</v>
      </c>
      <c r="H2134" s="50">
        <v>2800</v>
      </c>
      <c r="I2134" s="50">
        <f>G2134+U2134*2.5</f>
        <v>2700</v>
      </c>
      <c r="J2134" s="50">
        <f>H2134-U2135*20</f>
        <v>800</v>
      </c>
      <c r="K2134" s="50" t="s">
        <v>22</v>
      </c>
      <c r="L2134" s="50">
        <v>-1</v>
      </c>
      <c r="M2134" s="49">
        <v>0</v>
      </c>
      <c r="N2134" s="49">
        <f>COUNT(S2134:CA2134)</f>
        <v>3</v>
      </c>
      <c r="O2134" s="50">
        <v>0</v>
      </c>
      <c r="P2134" s="50">
        <v>0</v>
      </c>
      <c r="Q2134" s="49">
        <v>3</v>
      </c>
      <c r="R2134" s="49">
        <v>0</v>
      </c>
      <c r="S2134" s="49">
        <v>0</v>
      </c>
      <c r="T2134" s="49">
        <f>(2-2*0.828)*U2134</f>
        <v>275.20000000000005</v>
      </c>
      <c r="U2134" s="48">
        <v>800</v>
      </c>
      <c r="V2134" s="48"/>
      <c r="W2134" s="48"/>
      <c r="X2134" s="48"/>
      <c r="Y2134" s="48"/>
    </row>
    <row r="2135" spans="4:25">
      <c r="D2135" s="48"/>
      <c r="E2135" s="54" t="s">
        <v>448</v>
      </c>
      <c r="G2135" s="36"/>
      <c r="K2135" s="50" t="s">
        <v>21</v>
      </c>
      <c r="L2135" s="6">
        <v>1</v>
      </c>
      <c r="M2135" s="49"/>
      <c r="N2135" s="48"/>
      <c r="P2135" s="49"/>
      <c r="Q2135" s="50">
        <v>4</v>
      </c>
      <c r="R2135" s="49"/>
      <c r="S2135" s="49">
        <v>0</v>
      </c>
      <c r="T2135" s="49">
        <f>U2135</f>
        <v>100</v>
      </c>
      <c r="U2135" s="48">
        <v>100</v>
      </c>
      <c r="V2135" s="48"/>
      <c r="W2135" s="48"/>
      <c r="X2135" s="48"/>
      <c r="Y2135" s="48"/>
    </row>
    <row r="2136" spans="4:25">
      <c r="D2136" s="48"/>
      <c r="E2136" s="48" t="s">
        <v>113</v>
      </c>
      <c r="F2136" s="6">
        <v>200</v>
      </c>
      <c r="G2136" s="50">
        <v>4500</v>
      </c>
      <c r="H2136" s="50">
        <f>H2134</f>
        <v>2800</v>
      </c>
      <c r="I2136" s="50">
        <f>G2136+Y2136*2.5</f>
        <v>7000</v>
      </c>
      <c r="J2136" s="50">
        <f>H2136-Y2137*20</f>
        <v>1200</v>
      </c>
      <c r="K2136" s="50" t="s">
        <v>22</v>
      </c>
      <c r="L2136" s="50">
        <v>1</v>
      </c>
      <c r="M2136" s="49"/>
      <c r="N2136" s="49">
        <f>COUNT(S2136:CA2136)</f>
        <v>7</v>
      </c>
      <c r="O2136" s="50"/>
      <c r="P2136" s="49"/>
      <c r="Q2136" s="6">
        <v>3</v>
      </c>
      <c r="R2136" s="49"/>
      <c r="S2136" s="49">
        <v>0</v>
      </c>
      <c r="T2136" s="49">
        <v>326.8</v>
      </c>
      <c r="U2136" s="48">
        <f>T2136+350</f>
        <v>676.8</v>
      </c>
      <c r="V2136" s="48">
        <f>U2136</f>
        <v>676.8</v>
      </c>
      <c r="W2136" s="48">
        <f>V2136+100</f>
        <v>776.8</v>
      </c>
      <c r="X2136" s="48">
        <f>W2136</f>
        <v>776.8</v>
      </c>
      <c r="Y2136" s="48">
        <v>1000</v>
      </c>
    </row>
    <row r="2137" spans="4:25">
      <c r="D2137" s="48"/>
      <c r="E2137" s="54" t="s">
        <v>448</v>
      </c>
      <c r="G2137" s="36"/>
      <c r="K2137" s="50" t="s">
        <v>21</v>
      </c>
      <c r="L2137" s="50">
        <v>1</v>
      </c>
      <c r="M2137" s="49"/>
      <c r="N2137" s="48"/>
      <c r="P2137" s="49"/>
      <c r="Q2137" s="50">
        <v>2</v>
      </c>
      <c r="R2137" s="49"/>
      <c r="S2137" s="49">
        <v>0</v>
      </c>
      <c r="T2137" s="49">
        <v>76</v>
      </c>
      <c r="U2137" s="48">
        <f>T2137</f>
        <v>76</v>
      </c>
      <c r="V2137" s="48">
        <v>78</v>
      </c>
      <c r="W2137" s="48">
        <f>V2137</f>
        <v>78</v>
      </c>
      <c r="X2137" s="48">
        <v>80</v>
      </c>
      <c r="Y2137" s="48">
        <v>80</v>
      </c>
    </row>
    <row r="2138" spans="4:25">
      <c r="D2138" s="48"/>
      <c r="E2138" s="48" t="s">
        <v>113</v>
      </c>
      <c r="F2138" s="6">
        <v>200</v>
      </c>
      <c r="G2138" s="50">
        <v>9000</v>
      </c>
      <c r="H2138" s="50">
        <f>H2136</f>
        <v>2800</v>
      </c>
      <c r="I2138" s="50">
        <f>G2138+V2138*2.5</f>
        <v>11000</v>
      </c>
      <c r="J2138" s="50">
        <f>H2138-V2139*20</f>
        <v>800</v>
      </c>
      <c r="K2138" s="50" t="s">
        <v>22</v>
      </c>
      <c r="L2138" s="50">
        <v>1</v>
      </c>
      <c r="M2138" s="49"/>
      <c r="N2138" s="49">
        <f>COUNT(S2138:CA2138)</f>
        <v>4</v>
      </c>
      <c r="O2138" s="50"/>
      <c r="P2138" s="49"/>
      <c r="Q2138" s="50">
        <v>3</v>
      </c>
      <c r="R2138" s="49"/>
      <c r="S2138" s="49">
        <v>0</v>
      </c>
      <c r="T2138" s="49">
        <v>93.8</v>
      </c>
      <c r="U2138" s="49">
        <f>(2-2*0.828)*V2138</f>
        <v>275.20000000000005</v>
      </c>
      <c r="V2138" s="48">
        <v>800</v>
      </c>
      <c r="W2138" s="49"/>
      <c r="X2138" s="48"/>
      <c r="Y2138" s="48"/>
    </row>
    <row r="2139" spans="4:25">
      <c r="D2139" s="49"/>
      <c r="E2139" s="6" t="s">
        <v>515</v>
      </c>
      <c r="F2139" s="50" t="s">
        <v>587</v>
      </c>
      <c r="G2139" s="50">
        <v>100</v>
      </c>
      <c r="H2139" s="50">
        <v>50</v>
      </c>
      <c r="I2139" s="50">
        <v>3900</v>
      </c>
      <c r="J2139" s="50">
        <v>8400</v>
      </c>
      <c r="K2139" s="50" t="s">
        <v>21</v>
      </c>
      <c r="L2139" s="50">
        <v>-1</v>
      </c>
      <c r="P2139" s="48"/>
      <c r="Q2139" s="50">
        <v>-1</v>
      </c>
      <c r="R2139" s="49"/>
      <c r="S2139" s="49">
        <v>0</v>
      </c>
      <c r="T2139" s="49">
        <f>13.6*2.5</f>
        <v>34</v>
      </c>
      <c r="U2139" s="49">
        <f>V2139</f>
        <v>100</v>
      </c>
      <c r="V2139" s="48">
        <v>100</v>
      </c>
      <c r="W2139" s="49"/>
      <c r="X2139" s="48"/>
      <c r="Y2139" s="48"/>
    </row>
    <row r="2140" spans="4:25">
      <c r="D2140" s="49">
        <v>7</v>
      </c>
      <c r="E2140" s="49" t="s">
        <v>5</v>
      </c>
      <c r="F2140" s="50">
        <v>1900</v>
      </c>
      <c r="G2140" s="50">
        <v>3200</v>
      </c>
      <c r="H2140" s="50">
        <f>F2140-100</f>
        <v>1800</v>
      </c>
      <c r="I2140" s="50">
        <f>G2140+800</f>
        <v>4000</v>
      </c>
      <c r="J2140" s="50"/>
      <c r="K2140" s="50"/>
      <c r="L2140" s="50"/>
      <c r="M2140" s="50"/>
      <c r="N2140" s="50"/>
      <c r="O2140" s="50"/>
      <c r="P2140" s="49"/>
      <c r="Q2140" s="49"/>
      <c r="R2140" s="49"/>
      <c r="S2140" s="49"/>
      <c r="T2140" s="49"/>
      <c r="U2140" s="49"/>
      <c r="V2140" s="48"/>
      <c r="W2140" s="48"/>
      <c r="X2140" s="49"/>
      <c r="Y2140" s="49"/>
    </row>
    <row r="2141" spans="4:25">
      <c r="D2141" s="49">
        <v>7</v>
      </c>
      <c r="E2141" s="49" t="s">
        <v>5</v>
      </c>
      <c r="F2141" s="50">
        <f>F2140-200</f>
        <v>1700</v>
      </c>
      <c r="G2141" s="50">
        <v>7500</v>
      </c>
      <c r="H2141" s="50">
        <f>F2141-100</f>
        <v>1600</v>
      </c>
      <c r="I2141" s="50">
        <f>G2141+800</f>
        <v>8300</v>
      </c>
      <c r="J2141" s="50"/>
      <c r="K2141" s="50"/>
      <c r="L2141" s="50"/>
      <c r="P2141" s="48"/>
      <c r="Q2141" s="49"/>
      <c r="R2141" s="49"/>
      <c r="S2141" s="49"/>
      <c r="T2141" s="49"/>
      <c r="U2141" s="49"/>
      <c r="V2141" s="48"/>
      <c r="W2141" s="48"/>
      <c r="X2141" s="49"/>
      <c r="Y2141" s="49"/>
    </row>
    <row r="2142" spans="4:25">
      <c r="D2142" s="49">
        <v>7</v>
      </c>
      <c r="E2142" s="49" t="s">
        <v>5</v>
      </c>
      <c r="F2142" s="50">
        <f>F2141+400</f>
        <v>2100</v>
      </c>
      <c r="G2142" s="50">
        <v>7500</v>
      </c>
      <c r="H2142" s="50">
        <f>F2142-100</f>
        <v>2000</v>
      </c>
      <c r="I2142" s="50">
        <f>G2142+800</f>
        <v>8300</v>
      </c>
      <c r="J2142" s="50"/>
      <c r="K2142" s="50"/>
      <c r="L2142" s="50"/>
      <c r="P2142" s="48"/>
      <c r="Q2142" s="49"/>
      <c r="R2142" s="49"/>
      <c r="S2142" s="49"/>
      <c r="T2142" s="49"/>
      <c r="U2142" s="49"/>
      <c r="V2142" s="48"/>
      <c r="W2142" s="48"/>
      <c r="X2142" s="49"/>
      <c r="Y2142" s="49"/>
    </row>
    <row r="2143" spans="4:25">
      <c r="D2143" s="48">
        <v>4</v>
      </c>
      <c r="E2143" s="48" t="s">
        <v>15</v>
      </c>
      <c r="F2143" s="6">
        <v>4</v>
      </c>
      <c r="G2143" s="50"/>
      <c r="H2143" s="50"/>
      <c r="I2143" s="50"/>
      <c r="J2143" s="50"/>
      <c r="K2143" s="50"/>
      <c r="L2143" s="50"/>
      <c r="P2143" s="48"/>
      <c r="Q2143" s="49"/>
      <c r="R2143" s="49"/>
      <c r="S2143" s="49"/>
      <c r="T2143" s="49"/>
      <c r="U2143" s="49"/>
      <c r="V2143" s="48"/>
      <c r="W2143" s="48"/>
      <c r="X2143" s="49"/>
      <c r="Y2143" s="49"/>
    </row>
    <row r="2144" spans="4:25">
      <c r="D2144" s="49">
        <f>F2144*2+4</f>
        <v>10</v>
      </c>
      <c r="E2144" s="49" t="s">
        <v>4</v>
      </c>
      <c r="F2144" s="50">
        <v>3</v>
      </c>
      <c r="G2144" s="50">
        <f>G2138</f>
        <v>9000</v>
      </c>
      <c r="H2144" s="50">
        <f>H2138</f>
        <v>2800</v>
      </c>
      <c r="I2144" s="50">
        <f>G2144+93.8*2.5</f>
        <v>9234.5</v>
      </c>
      <c r="J2144" s="50">
        <f>H2144</f>
        <v>2800</v>
      </c>
      <c r="K2144" s="50">
        <f>I2144</f>
        <v>9234.5</v>
      </c>
      <c r="L2144" s="50">
        <f>J2144-13.6*2.5*20</f>
        <v>2120</v>
      </c>
      <c r="P2144" s="48"/>
      <c r="Q2144" s="49"/>
      <c r="R2144" s="49"/>
      <c r="S2144" s="49"/>
      <c r="T2144" s="49"/>
      <c r="U2144" s="49"/>
      <c r="V2144" s="48"/>
      <c r="W2144" s="48"/>
      <c r="X2144" s="49"/>
      <c r="Y2144" s="49"/>
    </row>
    <row r="2145" spans="1:25">
      <c r="D2145" s="48">
        <v>8</v>
      </c>
      <c r="E2145" s="48" t="s">
        <v>6</v>
      </c>
      <c r="F2145" s="6">
        <v>4</v>
      </c>
      <c r="G2145" s="50">
        <v>93.8</v>
      </c>
      <c r="H2145" s="6">
        <v>2900</v>
      </c>
      <c r="I2145" s="6">
        <v>9200</v>
      </c>
      <c r="K2145" s="50"/>
      <c r="L2145" s="50"/>
      <c r="P2145" s="48"/>
      <c r="Q2145" s="49"/>
      <c r="R2145" s="49"/>
      <c r="S2145" s="49"/>
      <c r="T2145" s="49"/>
      <c r="U2145" s="49"/>
      <c r="V2145" s="48"/>
      <c r="W2145" s="48"/>
      <c r="X2145" s="49"/>
      <c r="Y2145" s="49"/>
    </row>
    <row r="2146" spans="1:25">
      <c r="D2146" s="48">
        <v>8</v>
      </c>
      <c r="E2146" s="48" t="s">
        <v>1</v>
      </c>
      <c r="F2146" s="6">
        <v>2</v>
      </c>
      <c r="G2146" s="50">
        <v>9234</v>
      </c>
      <c r="H2146" s="6">
        <v>2700</v>
      </c>
      <c r="I2146" s="6">
        <v>9234</v>
      </c>
      <c r="J2146" s="6">
        <v>2900</v>
      </c>
      <c r="K2146" s="50"/>
      <c r="L2146" s="50"/>
      <c r="P2146" s="48"/>
      <c r="Q2146" s="49"/>
      <c r="R2146" s="49"/>
      <c r="S2146" s="49"/>
      <c r="T2146" s="49"/>
      <c r="U2146" s="49"/>
      <c r="V2146" s="48"/>
      <c r="W2146" s="48"/>
      <c r="X2146" s="49"/>
      <c r="Y2146" s="49"/>
    </row>
    <row r="2147" spans="1:25">
      <c r="D2147" s="48">
        <v>9</v>
      </c>
      <c r="E2147" s="48" t="s">
        <v>6</v>
      </c>
      <c r="F2147" s="6">
        <v>5</v>
      </c>
      <c r="G2147" s="50">
        <v>326.8</v>
      </c>
      <c r="H2147" s="6">
        <v>2900</v>
      </c>
      <c r="I2147" s="6">
        <v>4984</v>
      </c>
      <c r="K2147" s="50"/>
      <c r="L2147" s="50"/>
      <c r="P2147" s="48"/>
      <c r="Q2147" s="49"/>
      <c r="R2147" s="49"/>
      <c r="S2147" s="49"/>
      <c r="T2147" s="49"/>
      <c r="U2147" s="49"/>
      <c r="V2147" s="48"/>
      <c r="W2147" s="48"/>
      <c r="X2147" s="49"/>
      <c r="Y2147" s="49"/>
    </row>
    <row r="2148" spans="1:25">
      <c r="D2148" s="48">
        <v>8</v>
      </c>
      <c r="E2148" s="48" t="s">
        <v>1</v>
      </c>
      <c r="F2148" s="6">
        <v>2</v>
      </c>
      <c r="G2148" s="50">
        <v>5317</v>
      </c>
      <c r="H2148" s="6">
        <v>2700</v>
      </c>
      <c r="I2148" s="6">
        <v>5317</v>
      </c>
      <c r="J2148" s="6">
        <v>2900</v>
      </c>
      <c r="K2148" s="50"/>
      <c r="L2148" s="50"/>
      <c r="M2148" s="50"/>
      <c r="N2148" s="50"/>
      <c r="O2148" s="50"/>
      <c r="P2148" s="49"/>
      <c r="Q2148" s="49"/>
      <c r="R2148" s="49"/>
      <c r="S2148" s="49"/>
      <c r="T2148" s="49"/>
      <c r="U2148" s="49"/>
      <c r="V2148" s="48"/>
      <c r="W2148" s="48"/>
      <c r="X2148" s="49"/>
      <c r="Y2148" s="49"/>
    </row>
    <row r="2149" spans="1:25">
      <c r="D2149" s="48">
        <v>7</v>
      </c>
      <c r="E2149" s="48" t="s">
        <v>6</v>
      </c>
      <c r="F2149" s="6">
        <v>2</v>
      </c>
      <c r="G2149" s="50">
        <v>76</v>
      </c>
      <c r="H2149" s="6">
        <v>1300</v>
      </c>
      <c r="I2149" s="6">
        <v>4060</v>
      </c>
      <c r="K2149" s="50"/>
      <c r="L2149" s="50"/>
      <c r="M2149" s="50"/>
      <c r="N2149" s="50"/>
      <c r="P2149" s="48"/>
      <c r="Q2149" s="49"/>
      <c r="R2149" s="49"/>
      <c r="S2149" s="49"/>
      <c r="T2149" s="49"/>
      <c r="U2149" s="49"/>
      <c r="V2149" s="48"/>
      <c r="W2149" s="48"/>
      <c r="X2149" s="49"/>
      <c r="Y2149" s="49"/>
    </row>
    <row r="2150" spans="1:25">
      <c r="D2150" s="48">
        <v>8</v>
      </c>
      <c r="E2150" s="48" t="s">
        <v>1</v>
      </c>
      <c r="F2150" s="6">
        <v>2</v>
      </c>
      <c r="G2150" s="50">
        <v>4400</v>
      </c>
      <c r="H2150" s="6">
        <v>1280</v>
      </c>
      <c r="I2150" s="6">
        <v>4600</v>
      </c>
      <c r="J2150" s="6">
        <v>1280</v>
      </c>
      <c r="K2150" s="50"/>
      <c r="L2150" s="50"/>
      <c r="M2150" s="50"/>
      <c r="N2150" s="50"/>
      <c r="P2150" s="48"/>
      <c r="Q2150" s="48"/>
      <c r="R2150" s="48"/>
      <c r="S2150" s="48"/>
      <c r="T2150" s="48"/>
      <c r="U2150" s="48"/>
      <c r="V2150" s="48"/>
      <c r="W2150" s="48"/>
      <c r="X2150" s="49"/>
      <c r="Y2150" s="49"/>
    </row>
    <row r="2153" spans="1:25">
      <c r="A2153" s="48" t="s">
        <v>383</v>
      </c>
      <c r="B2153" s="1" t="s">
        <v>800</v>
      </c>
      <c r="C2153" s="48"/>
      <c r="D2153" s="48" t="s">
        <v>449</v>
      </c>
      <c r="E2153" s="48">
        <v>52695</v>
      </c>
      <c r="F2153" s="6">
        <v>39622</v>
      </c>
      <c r="G2153" s="6">
        <v>0</v>
      </c>
      <c r="H2153" s="6">
        <v>0</v>
      </c>
      <c r="I2153" s="6">
        <v>0</v>
      </c>
      <c r="J2153" s="6">
        <v>11900</v>
      </c>
      <c r="K2153" s="6">
        <v>4700</v>
      </c>
      <c r="L2153" s="6">
        <v>1920</v>
      </c>
      <c r="M2153" s="6">
        <v>0</v>
      </c>
      <c r="N2153" s="6">
        <v>0</v>
      </c>
      <c r="O2153" s="6" t="e">
        <f ca="1">checksummeint(G2153,H2153,I2153,J2153,K2153,L2153,M2153,N2153)</f>
        <v>#NAME?</v>
      </c>
      <c r="P2153" s="48"/>
      <c r="Q2153" s="48"/>
      <c r="R2153" s="48"/>
      <c r="S2153" s="48"/>
      <c r="T2153" s="48"/>
      <c r="U2153" s="48"/>
      <c r="V2153" s="48"/>
      <c r="W2153" s="48"/>
    </row>
    <row r="2154" spans="1:25">
      <c r="B2154" s="1" t="s">
        <v>260</v>
      </c>
      <c r="C2154" s="48">
        <v>0</v>
      </c>
      <c r="D2154" s="48">
        <v>28</v>
      </c>
      <c r="E2154" s="48" t="s">
        <v>12</v>
      </c>
      <c r="F2154" s="6">
        <v>360</v>
      </c>
      <c r="G2154" s="6">
        <v>0</v>
      </c>
      <c r="H2154" s="6">
        <v>0</v>
      </c>
      <c r="I2154" s="6">
        <v>0</v>
      </c>
      <c r="J2154" s="6">
        <v>400</v>
      </c>
      <c r="K2154" s="6">
        <v>0</v>
      </c>
      <c r="L2154" s="6">
        <v>0</v>
      </c>
      <c r="M2154" s="6">
        <v>0</v>
      </c>
      <c r="N2154" s="6">
        <v>0</v>
      </c>
      <c r="O2154" s="6" t="s">
        <v>19</v>
      </c>
      <c r="P2154" s="48"/>
      <c r="Q2154" s="48"/>
      <c r="R2154" s="48"/>
      <c r="S2154" s="48"/>
      <c r="T2154" s="48"/>
      <c r="U2154" s="48"/>
      <c r="V2154" s="48"/>
      <c r="W2154" s="48"/>
    </row>
    <row r="2155" spans="1:25">
      <c r="C2155" s="48"/>
      <c r="D2155" s="48">
        <v>5</v>
      </c>
      <c r="E2155" s="48" t="s">
        <v>59</v>
      </c>
      <c r="F2155" s="6">
        <v>1</v>
      </c>
      <c r="G2155" s="6">
        <v>0</v>
      </c>
      <c r="P2155" s="48"/>
      <c r="Q2155" s="48"/>
      <c r="R2155" s="48"/>
      <c r="S2155" s="48"/>
      <c r="T2155" s="48"/>
      <c r="U2155" s="48"/>
      <c r="V2155" s="48"/>
      <c r="W2155" s="48"/>
    </row>
    <row r="2156" spans="1:25">
      <c r="C2156" s="48">
        <v>1</v>
      </c>
      <c r="D2156" s="48">
        <v>8</v>
      </c>
      <c r="E2156" s="48" t="s">
        <v>14</v>
      </c>
      <c r="F2156" s="6">
        <v>0</v>
      </c>
      <c r="G2156" s="6">
        <v>16</v>
      </c>
      <c r="H2156" s="6">
        <v>0</v>
      </c>
      <c r="I2156" s="6">
        <v>0</v>
      </c>
      <c r="J2156" s="6">
        <v>0</v>
      </c>
      <c r="M2156" s="44"/>
      <c r="N2156" s="45"/>
      <c r="O2156" s="46"/>
      <c r="P2156" s="48"/>
      <c r="Q2156" s="48"/>
      <c r="R2156" s="48"/>
      <c r="S2156" s="48"/>
      <c r="T2156" s="48"/>
      <c r="U2156" s="48"/>
      <c r="V2156" s="48"/>
      <c r="W2156" s="48"/>
    </row>
    <row r="2157" spans="1:25">
      <c r="C2157" s="48">
        <v>2</v>
      </c>
      <c r="D2157" s="48">
        <v>7</v>
      </c>
      <c r="E2157" s="48" t="s">
        <v>11</v>
      </c>
      <c r="F2157" s="6">
        <v>0</v>
      </c>
      <c r="G2157" s="50">
        <f>255*256+192</f>
        <v>65472</v>
      </c>
      <c r="H2157" s="50">
        <v>192</v>
      </c>
      <c r="I2157" s="6">
        <v>0</v>
      </c>
      <c r="P2157" s="48"/>
      <c r="Q2157" s="48"/>
      <c r="R2157" s="48"/>
      <c r="S2157" s="48"/>
      <c r="T2157" s="48"/>
      <c r="U2157" s="48"/>
      <c r="V2157" s="48"/>
      <c r="W2157" s="48"/>
    </row>
    <row r="2158" spans="1:25">
      <c r="C2158" s="48">
        <v>3</v>
      </c>
      <c r="D2158" s="48">
        <v>7</v>
      </c>
      <c r="E2158" s="48" t="s">
        <v>11</v>
      </c>
      <c r="F2158" s="6">
        <v>0</v>
      </c>
      <c r="G2158" s="6">
        <v>0</v>
      </c>
      <c r="H2158" s="6">
        <v>0</v>
      </c>
      <c r="I2158" s="6">
        <v>0</v>
      </c>
      <c r="P2158" s="48"/>
      <c r="Q2158" s="48"/>
      <c r="R2158" s="48"/>
      <c r="S2158" s="48"/>
      <c r="T2158" s="48"/>
      <c r="U2158" s="48"/>
      <c r="V2158" s="48"/>
      <c r="W2158" s="48"/>
    </row>
    <row r="2159" spans="1:25">
      <c r="C2159" s="48">
        <v>4</v>
      </c>
      <c r="D2159" s="48">
        <v>7</v>
      </c>
      <c r="E2159" s="48" t="s">
        <v>11</v>
      </c>
      <c r="F2159" s="6">
        <v>0</v>
      </c>
      <c r="G2159" s="50">
        <f>255*256+228</f>
        <v>65508</v>
      </c>
      <c r="H2159" s="50">
        <v>228</v>
      </c>
      <c r="I2159" s="6">
        <v>0</v>
      </c>
      <c r="P2159" s="48"/>
      <c r="Q2159" s="48"/>
      <c r="R2159" s="48"/>
      <c r="S2159" s="48"/>
      <c r="T2159" s="48"/>
      <c r="U2159" s="48"/>
      <c r="V2159" s="48"/>
      <c r="W2159" s="48"/>
    </row>
    <row r="2160" spans="1:25">
      <c r="C2160" s="48">
        <v>5</v>
      </c>
      <c r="D2160" s="48">
        <v>8</v>
      </c>
      <c r="E2160" s="48" t="s">
        <v>14</v>
      </c>
      <c r="F2160" s="6">
        <v>5</v>
      </c>
      <c r="G2160" s="6">
        <v>16</v>
      </c>
      <c r="H2160" s="6">
        <v>0</v>
      </c>
      <c r="I2160" s="6">
        <v>0</v>
      </c>
      <c r="J2160" s="6">
        <v>0</v>
      </c>
      <c r="P2160" s="48"/>
      <c r="Q2160" s="48"/>
      <c r="R2160" s="48"/>
      <c r="S2160" s="48"/>
      <c r="T2160" s="48"/>
      <c r="U2160" s="48"/>
      <c r="V2160" s="48"/>
      <c r="W2160" s="48"/>
    </row>
    <row r="2161" spans="3:23">
      <c r="C2161" s="48">
        <v>6</v>
      </c>
      <c r="D2161" s="48">
        <v>8</v>
      </c>
      <c r="E2161" s="48" t="s">
        <v>14</v>
      </c>
      <c r="F2161" s="6">
        <v>2</v>
      </c>
      <c r="G2161" s="6">
        <v>16</v>
      </c>
      <c r="H2161" s="6">
        <v>0</v>
      </c>
      <c r="I2161" s="6">
        <v>0</v>
      </c>
      <c r="J2161" s="6">
        <v>0</v>
      </c>
      <c r="P2161" s="48"/>
      <c r="Q2161" s="48"/>
      <c r="R2161" s="48"/>
      <c r="S2161" s="48"/>
      <c r="T2161" s="48"/>
      <c r="U2161" s="48"/>
      <c r="V2161" s="48"/>
      <c r="W2161" s="48"/>
    </row>
    <row r="2162" spans="3:23">
      <c r="C2162" s="48"/>
      <c r="D2162" s="48">
        <v>4</v>
      </c>
      <c r="E2162" s="48" t="s">
        <v>15</v>
      </c>
      <c r="F2162" s="6">
        <v>0</v>
      </c>
      <c r="G2162" s="50"/>
      <c r="P2162" s="48"/>
      <c r="Q2162" s="48"/>
      <c r="R2162" s="48"/>
      <c r="S2162" s="48"/>
      <c r="T2162" s="48"/>
      <c r="U2162" s="48"/>
      <c r="V2162" s="48"/>
      <c r="W2162" s="48"/>
    </row>
    <row r="2163" spans="3:23">
      <c r="C2163" s="48"/>
      <c r="D2163" s="48">
        <v>4</v>
      </c>
      <c r="E2163" s="48" t="s">
        <v>15</v>
      </c>
      <c r="F2163" s="6">
        <v>5</v>
      </c>
      <c r="P2163" s="48"/>
      <c r="Q2163" s="48"/>
      <c r="R2163" s="48"/>
      <c r="S2163" s="48"/>
      <c r="T2163" s="48"/>
      <c r="U2163" s="48"/>
      <c r="V2163" s="48"/>
      <c r="W2163" s="48"/>
    </row>
    <row r="2164" spans="3:23">
      <c r="C2164" s="48"/>
      <c r="D2164" s="48">
        <v>4</v>
      </c>
      <c r="E2164" s="48" t="s">
        <v>15</v>
      </c>
      <c r="F2164" s="6">
        <v>4</v>
      </c>
      <c r="P2164" s="48"/>
      <c r="Q2164" s="48"/>
      <c r="R2164" s="48"/>
      <c r="S2164" s="48"/>
      <c r="T2164" s="48"/>
      <c r="U2164" s="48"/>
      <c r="V2164" s="48"/>
      <c r="W2164" s="48"/>
    </row>
    <row r="2165" spans="3:23">
      <c r="C2165" s="48"/>
      <c r="D2165" s="49">
        <f>F2165*2+4</f>
        <v>12</v>
      </c>
      <c r="E2165" s="49" t="s">
        <v>4</v>
      </c>
      <c r="F2165" s="50">
        <v>4</v>
      </c>
      <c r="G2165" s="50">
        <f>G2174+5*T2174</f>
        <v>5300</v>
      </c>
      <c r="H2165" s="50">
        <f>H2174-15*T2175</f>
        <v>1249.9999999999998</v>
      </c>
      <c r="I2165" s="50">
        <f>G2174+5*U2174</f>
        <v>5600</v>
      </c>
      <c r="J2165" s="50">
        <f>H2174-15*U2175</f>
        <v>1249.9999999999998</v>
      </c>
      <c r="K2165" s="50">
        <f>G2174+5*V2174</f>
        <v>6800.0000000000009</v>
      </c>
      <c r="L2165" s="50">
        <f>H2174-15*V2175</f>
        <v>500</v>
      </c>
      <c r="M2165" s="50">
        <f>K2165+G2165-I2165</f>
        <v>6500</v>
      </c>
      <c r="N2165" s="50">
        <f>L2165</f>
        <v>500</v>
      </c>
      <c r="O2165" s="50"/>
      <c r="P2165" s="49"/>
      <c r="Q2165" s="49"/>
      <c r="R2165" s="49"/>
      <c r="S2165" s="49"/>
      <c r="T2165" s="49"/>
      <c r="U2165" s="49"/>
      <c r="V2165" s="48"/>
      <c r="W2165" s="48"/>
    </row>
    <row r="2166" spans="3:23">
      <c r="C2166" s="48"/>
      <c r="D2166" s="49">
        <f>F2166*2+4</f>
        <v>12</v>
      </c>
      <c r="E2166" s="49" t="s">
        <v>4</v>
      </c>
      <c r="F2166" s="50">
        <v>4</v>
      </c>
      <c r="G2166" s="50">
        <f>G2177+5*T2177</f>
        <v>9000</v>
      </c>
      <c r="H2166" s="50">
        <f>H2177-15*T2178</f>
        <v>1250</v>
      </c>
      <c r="I2166" s="50">
        <f>G2177+5*U2177</f>
        <v>9600</v>
      </c>
      <c r="J2166" s="50">
        <f>H2177-15*U2178</f>
        <v>1250</v>
      </c>
      <c r="K2166" s="50">
        <f>G2177+5*V2177</f>
        <v>10500</v>
      </c>
      <c r="L2166" s="50">
        <f>H2177-15*V2178</f>
        <v>500</v>
      </c>
      <c r="M2166" s="50">
        <f>K2166+G2166-I2166</f>
        <v>9900</v>
      </c>
      <c r="N2166" s="50">
        <f>L2166</f>
        <v>500</v>
      </c>
      <c r="P2166" s="48"/>
      <c r="Q2166" s="48"/>
      <c r="R2166" s="48"/>
      <c r="S2166" s="48"/>
      <c r="T2166" s="48"/>
      <c r="U2166" s="48"/>
      <c r="V2166" s="48"/>
      <c r="W2166" s="49"/>
    </row>
    <row r="2167" spans="3:23">
      <c r="C2167" s="48"/>
      <c r="D2167" s="49">
        <f>F2167*2+4</f>
        <v>12</v>
      </c>
      <c r="E2167" s="49" t="s">
        <v>4</v>
      </c>
      <c r="F2167" s="50">
        <v>4</v>
      </c>
      <c r="G2167" s="50">
        <f>G2180+5*T2180</f>
        <v>699.99999999999977</v>
      </c>
      <c r="H2167" s="50">
        <f>H2180-15*T2181</f>
        <v>3750</v>
      </c>
      <c r="I2167" s="50">
        <f>G2180+5*U2180</f>
        <v>1599.9999999999998</v>
      </c>
      <c r="J2167" s="50">
        <f>H2180-15*U2181</f>
        <v>3750</v>
      </c>
      <c r="K2167" s="50">
        <f>G2180+5*V2180</f>
        <v>2199.9999999999995</v>
      </c>
      <c r="L2167" s="50">
        <f>H2180-15*V2181</f>
        <v>3000</v>
      </c>
      <c r="M2167" s="50">
        <f>K2167+G2167-I2167</f>
        <v>1299.9999999999993</v>
      </c>
      <c r="N2167" s="50">
        <f>L2167</f>
        <v>3000</v>
      </c>
      <c r="P2167" s="48"/>
      <c r="Q2167" s="48"/>
      <c r="R2167" s="48"/>
      <c r="S2167" s="48"/>
      <c r="T2167" s="48"/>
      <c r="U2167" s="48"/>
      <c r="V2167" s="48"/>
      <c r="W2167" s="49"/>
    </row>
    <row r="2168" spans="3:23">
      <c r="C2168" s="48"/>
      <c r="D2168" s="49">
        <f>F2168*2+4</f>
        <v>12</v>
      </c>
      <c r="E2168" s="49" t="s">
        <v>4</v>
      </c>
      <c r="F2168" s="50">
        <v>4</v>
      </c>
      <c r="G2168" s="50">
        <f>G2182+5*T2182</f>
        <v>4400</v>
      </c>
      <c r="H2168" s="50">
        <f>H2182-15*T2183</f>
        <v>3750</v>
      </c>
      <c r="I2168" s="50">
        <f>G2182+5*U2182</f>
        <v>5600</v>
      </c>
      <c r="J2168" s="50">
        <f>H2182-15*U2183</f>
        <v>3750</v>
      </c>
      <c r="K2168" s="50">
        <f>G2182+5*V2182</f>
        <v>5900</v>
      </c>
      <c r="L2168" s="50">
        <f>H2182-15*V2183</f>
        <v>3000</v>
      </c>
      <c r="M2168" s="50">
        <f>K2168+G2168-I2168</f>
        <v>4700</v>
      </c>
      <c r="N2168" s="50">
        <f>L2168</f>
        <v>3000</v>
      </c>
      <c r="P2168" s="48"/>
      <c r="Q2168" s="48"/>
      <c r="R2168" s="48"/>
      <c r="S2168" s="48"/>
      <c r="T2168" s="48"/>
      <c r="U2168" s="48"/>
      <c r="V2168" s="48"/>
      <c r="W2168" s="48"/>
    </row>
    <row r="2169" spans="3:23">
      <c r="C2169" s="48"/>
      <c r="D2169" s="49">
        <f>F2169*2+4</f>
        <v>12</v>
      </c>
      <c r="E2169" s="49" t="s">
        <v>4</v>
      </c>
      <c r="F2169" s="50">
        <v>4</v>
      </c>
      <c r="G2169" s="50">
        <f>G2184+5*T2184</f>
        <v>8100</v>
      </c>
      <c r="H2169" s="50">
        <f>H2184-15*T2185</f>
        <v>3750</v>
      </c>
      <c r="I2169" s="50">
        <f>G2184+5*U2184</f>
        <v>9600</v>
      </c>
      <c r="J2169" s="50">
        <f>H2184-15*U2185</f>
        <v>3750</v>
      </c>
      <c r="K2169" s="50">
        <f>G2184+5*V2184</f>
        <v>9600</v>
      </c>
      <c r="L2169" s="50">
        <f>H2184-15*V2185</f>
        <v>3000</v>
      </c>
      <c r="M2169" s="50">
        <f>K2169+G2169-I2169</f>
        <v>8100</v>
      </c>
      <c r="N2169" s="50">
        <f>L2169</f>
        <v>3000</v>
      </c>
      <c r="P2169" s="48"/>
      <c r="Q2169" s="48"/>
      <c r="R2169" s="48"/>
      <c r="S2169" s="48"/>
      <c r="T2169" s="48"/>
      <c r="U2169" s="48"/>
      <c r="V2169" s="48"/>
      <c r="W2169" s="48"/>
    </row>
    <row r="2170" spans="3:23">
      <c r="C2170" s="48"/>
      <c r="D2170" s="48">
        <v>4</v>
      </c>
      <c r="E2170" s="48" t="s">
        <v>15</v>
      </c>
      <c r="F2170" s="6">
        <v>1</v>
      </c>
      <c r="G2170" s="50"/>
      <c r="H2170" s="50"/>
      <c r="I2170" s="50"/>
      <c r="J2170" s="50"/>
      <c r="K2170" s="50"/>
      <c r="L2170" s="50"/>
      <c r="M2170" s="50"/>
      <c r="N2170" s="50"/>
      <c r="P2170" s="48"/>
      <c r="Q2170" s="48"/>
      <c r="R2170" s="48"/>
      <c r="S2170" s="48"/>
      <c r="T2170" s="48"/>
      <c r="U2170" s="48"/>
      <c r="V2170" s="48"/>
      <c r="W2170" s="48"/>
    </row>
    <row r="2171" spans="3:23">
      <c r="C2171" s="48">
        <v>0.5</v>
      </c>
      <c r="D2171" s="48"/>
      <c r="E2171" s="48" t="s">
        <v>113</v>
      </c>
      <c r="F2171" s="6">
        <v>200</v>
      </c>
      <c r="G2171" s="50">
        <v>100</v>
      </c>
      <c r="H2171" s="50">
        <v>2000</v>
      </c>
      <c r="I2171" s="50">
        <f>G2171+3000</f>
        <v>3100</v>
      </c>
      <c r="J2171" s="50">
        <f>H2171-1500</f>
        <v>500</v>
      </c>
      <c r="K2171" s="50" t="s">
        <v>22</v>
      </c>
      <c r="L2171" s="49"/>
      <c r="M2171" s="49">
        <v>0</v>
      </c>
      <c r="N2171" s="49">
        <f>COUNT(S2171:CA2171)</f>
        <v>2</v>
      </c>
      <c r="O2171" s="50">
        <v>0</v>
      </c>
      <c r="P2171" s="50">
        <v>0</v>
      </c>
      <c r="Q2171" s="49">
        <v>3</v>
      </c>
      <c r="R2171" s="49">
        <v>0</v>
      </c>
      <c r="S2171" s="49">
        <v>0</v>
      </c>
      <c r="T2171" s="49">
        <v>600</v>
      </c>
      <c r="U2171" s="49"/>
      <c r="V2171" s="48"/>
      <c r="W2171" s="48"/>
    </row>
    <row r="2172" spans="3:23">
      <c r="C2172" s="48"/>
      <c r="D2172" s="48"/>
      <c r="E2172" s="54" t="s">
        <v>448</v>
      </c>
      <c r="G2172" s="50"/>
      <c r="K2172" s="50" t="s">
        <v>21</v>
      </c>
      <c r="L2172" s="50"/>
      <c r="M2172" s="49"/>
      <c r="N2172" s="48"/>
      <c r="P2172" s="49"/>
      <c r="Q2172" s="50">
        <v>2</v>
      </c>
      <c r="R2172" s="49"/>
      <c r="S2172" s="49">
        <v>0</v>
      </c>
      <c r="T2172" s="49">
        <v>50.000000000000043</v>
      </c>
      <c r="U2172" s="48"/>
      <c r="V2172" s="48"/>
      <c r="W2172" s="48"/>
    </row>
    <row r="2173" spans="3:23">
      <c r="C2173" s="48"/>
      <c r="D2173" s="49"/>
      <c r="E2173" s="6" t="s">
        <v>517</v>
      </c>
      <c r="F2173" s="6" t="s">
        <v>588</v>
      </c>
      <c r="G2173" s="50">
        <f>G2171+200</f>
        <v>300</v>
      </c>
      <c r="H2173" s="50">
        <f>J2171-100</f>
        <v>400</v>
      </c>
      <c r="I2173" s="50">
        <f>H2173+300</f>
        <v>700</v>
      </c>
      <c r="J2173" s="50">
        <f>J2180-100</f>
        <v>2900</v>
      </c>
      <c r="K2173" s="50">
        <f>J2173+300</f>
        <v>3200</v>
      </c>
      <c r="M2173" s="49"/>
      <c r="N2173" s="48"/>
      <c r="P2173" s="49"/>
      <c r="Q2173" s="6"/>
      <c r="R2173" s="49"/>
      <c r="S2173" s="48"/>
      <c r="T2173" s="48"/>
      <c r="U2173" s="48"/>
      <c r="V2173" s="48"/>
      <c r="W2173" s="48"/>
    </row>
    <row r="2174" spans="3:23">
      <c r="C2174" s="48">
        <v>0.6</v>
      </c>
      <c r="D2174" s="48"/>
      <c r="E2174" s="48" t="s">
        <v>113</v>
      </c>
      <c r="F2174" s="6">
        <v>200</v>
      </c>
      <c r="G2174" s="50">
        <f>G2171+4000</f>
        <v>4100</v>
      </c>
      <c r="H2174" s="50">
        <v>2000</v>
      </c>
      <c r="I2174" s="50">
        <f>G2174+3000</f>
        <v>7100</v>
      </c>
      <c r="J2174" s="50">
        <f>H2174-1500</f>
        <v>500</v>
      </c>
      <c r="K2174" s="50" t="s">
        <v>22</v>
      </c>
      <c r="L2174" s="49"/>
      <c r="M2174" s="49"/>
      <c r="N2174" s="49">
        <f>COUNT(S2174:CA2174)</f>
        <v>5</v>
      </c>
      <c r="O2174" s="50"/>
      <c r="P2174" s="49"/>
      <c r="Q2174" s="6">
        <v>3</v>
      </c>
      <c r="R2174" s="49"/>
      <c r="S2174" s="49">
        <v>0</v>
      </c>
      <c r="T2174" s="49">
        <f>U2174*(1-2*C2174)+U2174</f>
        <v>240.00000000000011</v>
      </c>
      <c r="U2174" s="49">
        <v>300.00000000000011</v>
      </c>
      <c r="V2174" s="48">
        <f>U2174+T2174</f>
        <v>540.00000000000023</v>
      </c>
      <c r="W2174" s="48">
        <v>600</v>
      </c>
    </row>
    <row r="2175" spans="3:23">
      <c r="C2175" s="48"/>
      <c r="D2175" s="48"/>
      <c r="E2175" s="54" t="s">
        <v>448</v>
      </c>
      <c r="G2175" s="50"/>
      <c r="K2175" s="50" t="s">
        <v>21</v>
      </c>
      <c r="L2175" s="50"/>
      <c r="M2175" s="49"/>
      <c r="N2175" s="48"/>
      <c r="P2175" s="49"/>
      <c r="Q2175" s="50">
        <v>2</v>
      </c>
      <c r="R2175" s="49"/>
      <c r="S2175" s="49">
        <v>0</v>
      </c>
      <c r="T2175" s="49">
        <v>50.000000000000014</v>
      </c>
      <c r="U2175" s="48">
        <v>50.000000000000014</v>
      </c>
      <c r="V2175" s="48">
        <v>100</v>
      </c>
      <c r="W2175" s="48">
        <v>100</v>
      </c>
    </row>
    <row r="2176" spans="3:23">
      <c r="C2176" s="48"/>
      <c r="D2176" s="49"/>
      <c r="E2176" s="6" t="s">
        <v>517</v>
      </c>
      <c r="F2176" s="6" t="s">
        <v>589</v>
      </c>
      <c r="G2176" s="50">
        <f>G2174+200</f>
        <v>4300</v>
      </c>
      <c r="H2176" s="50">
        <f>J2174-100</f>
        <v>400</v>
      </c>
      <c r="I2176" s="50">
        <f>H2176+300</f>
        <v>700</v>
      </c>
      <c r="J2176" s="50">
        <f>J2182-100</f>
        <v>2900</v>
      </c>
      <c r="K2176" s="50">
        <f>J2176+300</f>
        <v>3200</v>
      </c>
      <c r="M2176" s="49"/>
      <c r="N2176" s="48"/>
      <c r="P2176" s="49"/>
      <c r="Q2176" s="6"/>
      <c r="R2176" s="49"/>
      <c r="S2176" s="48"/>
      <c r="T2176" s="48"/>
      <c r="U2176" s="48"/>
      <c r="V2176" s="48"/>
      <c r="W2176" s="48"/>
    </row>
    <row r="2177" spans="1:23">
      <c r="C2177" s="48">
        <v>0.7</v>
      </c>
      <c r="D2177" s="48"/>
      <c r="E2177" s="48" t="s">
        <v>113</v>
      </c>
      <c r="F2177" s="6">
        <v>200</v>
      </c>
      <c r="G2177" s="50">
        <f>G2174+4000</f>
        <v>8100</v>
      </c>
      <c r="H2177" s="50">
        <v>2000</v>
      </c>
      <c r="I2177" s="50">
        <f>G2177+3000</f>
        <v>11100</v>
      </c>
      <c r="J2177" s="50">
        <f>H2177-1500</f>
        <v>500</v>
      </c>
      <c r="K2177" s="50" t="s">
        <v>22</v>
      </c>
      <c r="L2177" s="50"/>
      <c r="M2177" s="49"/>
      <c r="N2177" s="49">
        <f>COUNT(S2177:CA2177)</f>
        <v>5</v>
      </c>
      <c r="O2177" s="50"/>
      <c r="P2177" s="49"/>
      <c r="Q2177" s="6">
        <v>3</v>
      </c>
      <c r="R2177" s="49"/>
      <c r="S2177" s="49">
        <v>0</v>
      </c>
      <c r="T2177" s="49">
        <f>U2177*(1-2*C2177)+U2177</f>
        <v>180</v>
      </c>
      <c r="U2177" s="49">
        <v>299.99999999999994</v>
      </c>
      <c r="V2177" s="48">
        <f>U2177+T2177</f>
        <v>479.99999999999994</v>
      </c>
      <c r="W2177" s="48">
        <v>600</v>
      </c>
    </row>
    <row r="2178" spans="1:23">
      <c r="C2178" s="48"/>
      <c r="D2178" s="48"/>
      <c r="E2178" s="54" t="s">
        <v>448</v>
      </c>
      <c r="G2178" s="50"/>
      <c r="K2178" s="50" t="s">
        <v>21</v>
      </c>
      <c r="L2178" s="50"/>
      <c r="M2178" s="49"/>
      <c r="N2178" s="48"/>
      <c r="P2178" s="49"/>
      <c r="Q2178" s="50">
        <v>2</v>
      </c>
      <c r="R2178" s="49"/>
      <c r="S2178" s="49">
        <v>0</v>
      </c>
      <c r="T2178" s="49">
        <v>49.999999999999993</v>
      </c>
      <c r="U2178" s="48">
        <v>49.999999999999993</v>
      </c>
      <c r="V2178" s="48">
        <v>100</v>
      </c>
      <c r="W2178" s="48">
        <v>100</v>
      </c>
    </row>
    <row r="2179" spans="1:23">
      <c r="C2179" s="48"/>
      <c r="D2179" s="49"/>
      <c r="E2179" s="6" t="s">
        <v>517</v>
      </c>
      <c r="F2179" s="6" t="s">
        <v>590</v>
      </c>
      <c r="G2179" s="50">
        <f>G2177+200</f>
        <v>8300</v>
      </c>
      <c r="H2179" s="50">
        <f>J2177-100</f>
        <v>400</v>
      </c>
      <c r="I2179" s="50">
        <f>H2179+300</f>
        <v>700</v>
      </c>
      <c r="J2179" s="50">
        <f>J2184-100</f>
        <v>2900</v>
      </c>
      <c r="K2179" s="50">
        <f>J2179+300</f>
        <v>3200</v>
      </c>
      <c r="M2179" s="49"/>
      <c r="N2179" s="48"/>
      <c r="P2179" s="49"/>
      <c r="Q2179" s="6"/>
      <c r="R2179" s="49"/>
      <c r="S2179" s="48"/>
      <c r="T2179" s="48"/>
      <c r="U2179" s="48"/>
      <c r="V2179" s="48"/>
      <c r="W2179" s="48"/>
    </row>
    <row r="2180" spans="1:23">
      <c r="C2180" s="48">
        <v>0.8</v>
      </c>
      <c r="D2180" s="48"/>
      <c r="E2180" s="48" t="s">
        <v>113</v>
      </c>
      <c r="F2180" s="6">
        <v>200</v>
      </c>
      <c r="G2180" s="50">
        <f>G2171</f>
        <v>100</v>
      </c>
      <c r="H2180" s="50">
        <f>H2171+2500</f>
        <v>4500</v>
      </c>
      <c r="I2180" s="50">
        <f>G2180+3000</f>
        <v>3100</v>
      </c>
      <c r="J2180" s="50">
        <f>H2180-1500</f>
        <v>3000</v>
      </c>
      <c r="K2180" s="50" t="s">
        <v>22</v>
      </c>
      <c r="L2180" s="50"/>
      <c r="M2180" s="49"/>
      <c r="N2180" s="49">
        <f>COUNT(S2180:CA2180)</f>
        <v>5</v>
      </c>
      <c r="O2180" s="50"/>
      <c r="P2180" s="49"/>
      <c r="Q2180" s="6">
        <v>3</v>
      </c>
      <c r="R2180" s="49"/>
      <c r="S2180" s="49">
        <v>0</v>
      </c>
      <c r="T2180" s="49">
        <f>U2180*(1-2*C2180)+U2180</f>
        <v>119.99999999999994</v>
      </c>
      <c r="U2180" s="49">
        <v>299.99999999999994</v>
      </c>
      <c r="V2180" s="48">
        <f>U2180+T2180</f>
        <v>419.99999999999989</v>
      </c>
      <c r="W2180" s="48">
        <v>600</v>
      </c>
    </row>
    <row r="2181" spans="1:23">
      <c r="C2181" s="48"/>
      <c r="D2181" s="48"/>
      <c r="E2181" s="54" t="s">
        <v>448</v>
      </c>
      <c r="G2181" s="50"/>
      <c r="K2181" s="50" t="s">
        <v>21</v>
      </c>
      <c r="L2181" s="50"/>
      <c r="M2181" s="49"/>
      <c r="N2181" s="48"/>
      <c r="P2181" s="49"/>
      <c r="Q2181" s="50">
        <v>2</v>
      </c>
      <c r="R2181" s="49"/>
      <c r="S2181" s="49">
        <v>0</v>
      </c>
      <c r="T2181" s="49">
        <v>49.999999999999993</v>
      </c>
      <c r="U2181" s="48">
        <v>49.999999999999993</v>
      </c>
      <c r="V2181" s="48">
        <v>100</v>
      </c>
      <c r="W2181" s="48">
        <v>100</v>
      </c>
    </row>
    <row r="2182" spans="1:23">
      <c r="C2182" s="48">
        <v>0.9</v>
      </c>
      <c r="D2182" s="48"/>
      <c r="E2182" s="48" t="s">
        <v>113</v>
      </c>
      <c r="F2182" s="6">
        <v>200</v>
      </c>
      <c r="G2182" s="50">
        <f>G2180+4000</f>
        <v>4100</v>
      </c>
      <c r="H2182" s="50">
        <f>H2180</f>
        <v>4500</v>
      </c>
      <c r="I2182" s="50">
        <f>G2182+3000</f>
        <v>7100</v>
      </c>
      <c r="J2182" s="50">
        <f>H2182-1500</f>
        <v>3000</v>
      </c>
      <c r="K2182" s="50" t="s">
        <v>22</v>
      </c>
      <c r="L2182" s="50"/>
      <c r="M2182" s="49"/>
      <c r="N2182" s="49">
        <f>COUNT(S2182:CA2182)</f>
        <v>5</v>
      </c>
      <c r="O2182" s="50"/>
      <c r="P2182" s="49"/>
      <c r="Q2182" s="50">
        <v>3</v>
      </c>
      <c r="R2182" s="49"/>
      <c r="S2182" s="49">
        <v>0</v>
      </c>
      <c r="T2182" s="49">
        <f>U2182*(1-2*C2182)+U2182</f>
        <v>59.999999999999972</v>
      </c>
      <c r="U2182" s="49">
        <v>299.99999999999994</v>
      </c>
      <c r="V2182" s="48">
        <f>U2182+T2182</f>
        <v>359.99999999999989</v>
      </c>
      <c r="W2182" s="48">
        <v>600</v>
      </c>
    </row>
    <row r="2183" spans="1:23">
      <c r="C2183" s="48"/>
      <c r="D2183" s="48"/>
      <c r="E2183" s="54" t="s">
        <v>448</v>
      </c>
      <c r="G2183" s="50"/>
      <c r="K2183" s="50" t="s">
        <v>21</v>
      </c>
      <c r="L2183" s="50"/>
      <c r="M2183" s="49"/>
      <c r="N2183" s="48"/>
      <c r="P2183" s="49"/>
      <c r="Q2183" s="50">
        <v>2</v>
      </c>
      <c r="R2183" s="49"/>
      <c r="S2183" s="49">
        <v>0</v>
      </c>
      <c r="T2183" s="49">
        <v>49.999999999999993</v>
      </c>
      <c r="U2183" s="48">
        <v>49.999999999999993</v>
      </c>
      <c r="V2183" s="48">
        <v>100</v>
      </c>
      <c r="W2183" s="48">
        <v>100</v>
      </c>
    </row>
    <row r="2184" spans="1:23">
      <c r="C2184" s="48">
        <v>1</v>
      </c>
      <c r="D2184" s="48"/>
      <c r="E2184" s="48" t="s">
        <v>113</v>
      </c>
      <c r="F2184" s="6">
        <v>200</v>
      </c>
      <c r="G2184" s="50">
        <f>G2182+4000</f>
        <v>8100</v>
      </c>
      <c r="H2184" s="50">
        <f>H2182</f>
        <v>4500</v>
      </c>
      <c r="I2184" s="50">
        <f>G2184+3000</f>
        <v>11100</v>
      </c>
      <c r="J2184" s="50">
        <f>H2184-1500</f>
        <v>3000</v>
      </c>
      <c r="K2184" s="50" t="s">
        <v>22</v>
      </c>
      <c r="L2184" s="50"/>
      <c r="M2184" s="49"/>
      <c r="N2184" s="49">
        <f>COUNT(S2184:CA2184)</f>
        <v>5</v>
      </c>
      <c r="O2184" s="50"/>
      <c r="P2184" s="49"/>
      <c r="Q2184" s="50">
        <v>3</v>
      </c>
      <c r="R2184" s="49"/>
      <c r="S2184" s="49">
        <v>0</v>
      </c>
      <c r="T2184" s="49">
        <f>U2184*(1-2*C2184)+U2184</f>
        <v>0</v>
      </c>
      <c r="U2184" s="49">
        <v>299.99999999999994</v>
      </c>
      <c r="V2184" s="48">
        <f>U2184+T2184</f>
        <v>299.99999999999994</v>
      </c>
      <c r="W2184" s="48">
        <v>600</v>
      </c>
    </row>
    <row r="2185" spans="1:23">
      <c r="C2185" s="48"/>
      <c r="D2185" s="48">
        <v>4</v>
      </c>
      <c r="E2185" s="48" t="s">
        <v>15</v>
      </c>
      <c r="F2185" s="6">
        <v>3</v>
      </c>
      <c r="G2185" s="50"/>
      <c r="K2185" s="50" t="s">
        <v>21</v>
      </c>
      <c r="L2185" s="50"/>
      <c r="P2185" s="48"/>
      <c r="Q2185" s="50">
        <v>2</v>
      </c>
      <c r="R2185" s="49"/>
      <c r="S2185" s="49">
        <v>0</v>
      </c>
      <c r="T2185" s="49">
        <v>49.999999999999993</v>
      </c>
      <c r="U2185" s="48">
        <v>49.999999999999993</v>
      </c>
      <c r="V2185" s="48">
        <v>100</v>
      </c>
      <c r="W2185" s="48">
        <v>100</v>
      </c>
    </row>
    <row r="2186" spans="1:23">
      <c r="C2186" s="49"/>
      <c r="D2186" s="48">
        <v>4</v>
      </c>
      <c r="E2186" s="48" t="s">
        <v>15</v>
      </c>
      <c r="F2186" s="6">
        <v>6</v>
      </c>
      <c r="G2186" s="50"/>
      <c r="H2186" s="50"/>
      <c r="I2186" s="50"/>
      <c r="J2186" s="50"/>
      <c r="K2186" s="50"/>
      <c r="L2186" s="50"/>
      <c r="M2186" s="50"/>
      <c r="N2186" s="50"/>
      <c r="O2186" s="50"/>
      <c r="P2186" s="49"/>
      <c r="Q2186" s="49"/>
      <c r="R2186" s="49"/>
      <c r="S2186" s="49"/>
      <c r="T2186" s="49"/>
      <c r="U2186" s="49"/>
      <c r="V2186" s="49"/>
      <c r="W2186" s="49"/>
    </row>
    <row r="2187" spans="1:23">
      <c r="A2187" s="2"/>
      <c r="B2187" s="2"/>
      <c r="C2187" s="48"/>
      <c r="D2187" s="49">
        <f>F2187*2+4</f>
        <v>8</v>
      </c>
      <c r="E2187" s="49" t="s">
        <v>1</v>
      </c>
      <c r="F2187" s="50">
        <v>2</v>
      </c>
      <c r="G2187" s="50">
        <f>G2174</f>
        <v>4100</v>
      </c>
      <c r="H2187" s="50">
        <f>H2174</f>
        <v>2000</v>
      </c>
      <c r="I2187" s="50">
        <f>I2174</f>
        <v>7100</v>
      </c>
      <c r="J2187" s="50">
        <f>J2174</f>
        <v>500</v>
      </c>
      <c r="K2187" s="50"/>
      <c r="L2187" s="50"/>
      <c r="P2187" s="48"/>
      <c r="Q2187" s="48"/>
      <c r="R2187" s="48"/>
      <c r="S2187" s="48"/>
      <c r="T2187" s="48"/>
      <c r="U2187" s="48"/>
      <c r="V2187" s="49"/>
      <c r="W2187" s="49"/>
    </row>
    <row r="2188" spans="1:23">
      <c r="C2188" s="48"/>
      <c r="D2188" s="49">
        <f>F2188*2+4</f>
        <v>8</v>
      </c>
      <c r="E2188" s="49" t="s">
        <v>1</v>
      </c>
      <c r="F2188" s="50">
        <v>2</v>
      </c>
      <c r="G2188" s="50">
        <f>G2177</f>
        <v>8100</v>
      </c>
      <c r="H2188" s="50">
        <f>H2177</f>
        <v>2000</v>
      </c>
      <c r="I2188" s="50">
        <f>I2177</f>
        <v>11100</v>
      </c>
      <c r="J2188" s="50">
        <f>J2177</f>
        <v>500</v>
      </c>
      <c r="P2188" s="48"/>
      <c r="Q2188" s="48"/>
      <c r="R2188" s="48"/>
      <c r="S2188" s="48"/>
      <c r="T2188" s="48"/>
      <c r="U2188" s="48"/>
      <c r="V2188" s="49"/>
      <c r="W2188" s="49"/>
    </row>
    <row r="2189" spans="1:23">
      <c r="C2189" s="48"/>
      <c r="D2189" s="49">
        <f>F2189*2+4</f>
        <v>8</v>
      </c>
      <c r="E2189" s="49" t="s">
        <v>1</v>
      </c>
      <c r="F2189" s="50">
        <v>2</v>
      </c>
      <c r="G2189" s="50">
        <f>G2180</f>
        <v>100</v>
      </c>
      <c r="H2189" s="50">
        <f>H2180</f>
        <v>4500</v>
      </c>
      <c r="I2189" s="50">
        <f>I2180</f>
        <v>3100</v>
      </c>
      <c r="J2189" s="50">
        <f>J2180</f>
        <v>3000</v>
      </c>
      <c r="K2189" s="50"/>
      <c r="L2189" s="50"/>
      <c r="P2189" s="48"/>
      <c r="Q2189" s="48"/>
      <c r="R2189" s="48"/>
      <c r="S2189" s="48"/>
      <c r="T2189" s="48"/>
      <c r="U2189" s="48"/>
      <c r="V2189" s="49"/>
      <c r="W2189" s="49"/>
    </row>
    <row r="2190" spans="1:23">
      <c r="C2190" s="48"/>
      <c r="D2190" s="49"/>
      <c r="E2190" s="23" t="s">
        <v>768</v>
      </c>
      <c r="F2190" s="50">
        <v>1</v>
      </c>
      <c r="G2190" s="49">
        <v>4000</v>
      </c>
      <c r="H2190" s="49">
        <v>0</v>
      </c>
      <c r="I2190" s="49">
        <v>2</v>
      </c>
      <c r="J2190" s="49"/>
      <c r="P2190" s="48"/>
      <c r="Q2190" s="48"/>
      <c r="R2190" s="48"/>
      <c r="S2190" s="48"/>
      <c r="T2190" s="48"/>
      <c r="U2190" s="48"/>
      <c r="V2190" s="49"/>
      <c r="W2190" s="49"/>
    </row>
    <row r="2193" spans="1:22">
      <c r="A2193" s="48" t="s">
        <v>383</v>
      </c>
      <c r="B2193" s="1" t="s">
        <v>802</v>
      </c>
      <c r="D2193" t="s">
        <v>449</v>
      </c>
      <c r="E2193">
        <v>52695</v>
      </c>
      <c r="F2193" s="6">
        <v>39622</v>
      </c>
      <c r="G2193" s="6">
        <v>0</v>
      </c>
      <c r="H2193" s="6">
        <v>0</v>
      </c>
      <c r="I2193" s="6">
        <v>0</v>
      </c>
      <c r="J2193" s="6">
        <v>10000</v>
      </c>
      <c r="K2193" s="6">
        <v>5400</v>
      </c>
      <c r="L2193" s="6">
        <v>1920</v>
      </c>
      <c r="M2193" s="6">
        <v>0</v>
      </c>
      <c r="N2193" s="6">
        <v>0</v>
      </c>
      <c r="O2193" s="6" t="e">
        <f ca="1">checksummeint(G2193,H2193,I2193,J2193,K2193,L2193,M2193,N2193)</f>
        <v>#NAME?</v>
      </c>
    </row>
    <row r="2194" spans="1:22">
      <c r="A2194" s="1"/>
      <c r="C2194">
        <v>0</v>
      </c>
      <c r="D2194">
        <v>28</v>
      </c>
      <c r="E2194" t="s">
        <v>12</v>
      </c>
      <c r="F2194" s="6">
        <v>360</v>
      </c>
      <c r="G2194" s="6">
        <v>0</v>
      </c>
      <c r="H2194" s="6">
        <v>0</v>
      </c>
      <c r="I2194" s="6">
        <v>0</v>
      </c>
      <c r="J2194" s="6">
        <v>400</v>
      </c>
      <c r="K2194" s="6">
        <v>0</v>
      </c>
      <c r="L2194" s="6">
        <v>0</v>
      </c>
      <c r="M2194" s="6">
        <v>0</v>
      </c>
      <c r="N2194" s="6">
        <v>0</v>
      </c>
      <c r="O2194" s="6" t="s">
        <v>19</v>
      </c>
    </row>
    <row r="2195" spans="1:22">
      <c r="A2195" s="1"/>
      <c r="C2195">
        <v>1</v>
      </c>
      <c r="D2195">
        <v>28</v>
      </c>
      <c r="E2195" t="s">
        <v>12</v>
      </c>
      <c r="F2195" s="6">
        <v>360</v>
      </c>
      <c r="G2195" s="6">
        <v>0</v>
      </c>
      <c r="H2195" s="6">
        <v>900</v>
      </c>
      <c r="I2195" s="6">
        <v>0</v>
      </c>
      <c r="J2195" s="6">
        <v>400</v>
      </c>
      <c r="K2195" s="6">
        <v>0</v>
      </c>
      <c r="L2195" s="6">
        <v>0</v>
      </c>
      <c r="M2195" s="6">
        <v>0</v>
      </c>
      <c r="N2195" s="6">
        <v>0</v>
      </c>
      <c r="O2195" s="6" t="s">
        <v>19</v>
      </c>
    </row>
    <row r="2196" spans="1:22">
      <c r="D2196">
        <v>5</v>
      </c>
      <c r="E2196" t="s">
        <v>59</v>
      </c>
      <c r="F2196" s="6">
        <v>1</v>
      </c>
      <c r="G2196" s="6">
        <v>0</v>
      </c>
    </row>
    <row r="2197" spans="1:22">
      <c r="C2197">
        <v>2</v>
      </c>
      <c r="D2197">
        <v>8</v>
      </c>
      <c r="E2197" t="s">
        <v>14</v>
      </c>
      <c r="F2197" s="6">
        <v>0</v>
      </c>
      <c r="G2197" s="6">
        <v>16</v>
      </c>
      <c r="H2197" s="6">
        <v>0</v>
      </c>
      <c r="I2197" s="6">
        <v>0</v>
      </c>
      <c r="J2197" s="6">
        <v>0</v>
      </c>
      <c r="M2197" s="44"/>
      <c r="N2197" s="45"/>
      <c r="O2197" s="46"/>
    </row>
    <row r="2198" spans="1:22">
      <c r="C2198">
        <v>3</v>
      </c>
      <c r="D2198">
        <v>7</v>
      </c>
      <c r="E2198" t="s">
        <v>11</v>
      </c>
      <c r="F2198" s="6">
        <v>0</v>
      </c>
      <c r="G2198" s="24">
        <f>255*256+192</f>
        <v>65472</v>
      </c>
      <c r="H2198" s="24">
        <v>192</v>
      </c>
      <c r="I2198" s="6">
        <v>0</v>
      </c>
    </row>
    <row r="2199" spans="1:22">
      <c r="C2199">
        <v>4</v>
      </c>
      <c r="D2199">
        <v>7</v>
      </c>
      <c r="E2199" t="s">
        <v>11</v>
      </c>
      <c r="F2199" s="6">
        <v>0</v>
      </c>
      <c r="G2199" s="6">
        <v>0</v>
      </c>
      <c r="H2199" s="6">
        <v>0</v>
      </c>
      <c r="I2199" s="6">
        <v>0</v>
      </c>
    </row>
    <row r="2200" spans="1:22">
      <c r="C2200">
        <v>5</v>
      </c>
      <c r="D2200">
        <v>7</v>
      </c>
      <c r="E2200" t="s">
        <v>11</v>
      </c>
      <c r="F2200" s="6">
        <v>1</v>
      </c>
      <c r="G2200" s="24">
        <v>0</v>
      </c>
      <c r="H2200" s="24">
        <v>0</v>
      </c>
      <c r="I2200" s="6">
        <v>0</v>
      </c>
    </row>
    <row r="2201" spans="1:22">
      <c r="C2201">
        <v>6</v>
      </c>
      <c r="D2201">
        <v>8</v>
      </c>
      <c r="E2201" t="s">
        <v>14</v>
      </c>
      <c r="F2201" s="6">
        <v>0</v>
      </c>
      <c r="G2201" s="6">
        <v>32</v>
      </c>
      <c r="H2201" s="6">
        <v>0</v>
      </c>
      <c r="I2201" s="6">
        <v>0</v>
      </c>
      <c r="J2201" s="6">
        <v>0</v>
      </c>
    </row>
    <row r="2202" spans="1:22">
      <c r="D2202" s="2">
        <v>4</v>
      </c>
      <c r="E2202" s="2" t="s">
        <v>15</v>
      </c>
      <c r="F2202" s="24">
        <v>0</v>
      </c>
      <c r="G2202" s="24"/>
      <c r="H2202" s="24"/>
      <c r="I2202" s="24"/>
    </row>
    <row r="2203" spans="1:22">
      <c r="D2203" s="2">
        <v>4</v>
      </c>
      <c r="E2203" s="2" t="s">
        <v>15</v>
      </c>
      <c r="F2203" s="24">
        <v>6</v>
      </c>
    </row>
    <row r="2204" spans="1:22">
      <c r="D2204" s="2">
        <v>4</v>
      </c>
      <c r="E2204" s="2" t="s">
        <v>15</v>
      </c>
      <c r="F2204" s="24">
        <v>3</v>
      </c>
    </row>
    <row r="2205" spans="1:22">
      <c r="D2205" s="2">
        <f>F2205*2+4</f>
        <v>20</v>
      </c>
      <c r="E2205" s="2" t="s">
        <v>4</v>
      </c>
      <c r="F2205" s="24">
        <v>8</v>
      </c>
      <c r="G2205" s="24">
        <f>A2220</f>
        <v>1536</v>
      </c>
      <c r="H2205" s="24">
        <f>B2220</f>
        <v>4096</v>
      </c>
      <c r="I2205" s="24">
        <f>G2205+(K2205-G2205)*0.7</f>
        <v>3148.8</v>
      </c>
      <c r="J2205" s="24">
        <f>L2205</f>
        <v>2560</v>
      </c>
      <c r="K2205" s="24">
        <f>A2221</f>
        <v>3840</v>
      </c>
      <c r="L2205" s="24">
        <f>B2221</f>
        <v>2560</v>
      </c>
      <c r="M2205" s="24">
        <f>K2205+(O2205-K2205)*0.6</f>
        <v>4608</v>
      </c>
      <c r="N2205" s="24">
        <f>P2205</f>
        <v>1536</v>
      </c>
      <c r="O2205" s="24">
        <f>A2222</f>
        <v>5120</v>
      </c>
      <c r="P2205" s="2">
        <f>B2222</f>
        <v>1536</v>
      </c>
      <c r="Q2205" s="2">
        <f>O2205+(S2205-O2205)*0.3</f>
        <v>6272</v>
      </c>
      <c r="R2205" s="2">
        <f>T2205</f>
        <v>512</v>
      </c>
      <c r="S2205" s="2">
        <f>A2223</f>
        <v>8960</v>
      </c>
      <c r="T2205" s="2">
        <f>B2223</f>
        <v>512</v>
      </c>
      <c r="U2205" s="2">
        <f>S2205</f>
        <v>8960</v>
      </c>
      <c r="V2205">
        <f>B2220</f>
        <v>4096</v>
      </c>
    </row>
    <row r="2206" spans="1:22">
      <c r="D2206" s="2">
        <v>4</v>
      </c>
      <c r="E2206" s="2" t="s">
        <v>15</v>
      </c>
      <c r="F2206" s="24">
        <v>2</v>
      </c>
      <c r="G2206" s="24"/>
      <c r="H2206" s="24"/>
      <c r="I2206" s="24"/>
      <c r="J2206" s="24"/>
      <c r="K2206" s="24"/>
      <c r="L2206" s="24"/>
      <c r="M2206" s="24"/>
      <c r="N2206" s="24"/>
      <c r="O2206" s="24"/>
      <c r="P2206" s="2"/>
      <c r="Q2206" s="2"/>
      <c r="R2206" s="2"/>
      <c r="S2206" s="2"/>
      <c r="T2206" s="2"/>
      <c r="U2206" s="2"/>
    </row>
    <row r="2207" spans="1:22">
      <c r="D2207">
        <v>7</v>
      </c>
      <c r="E2207" t="s">
        <v>0</v>
      </c>
      <c r="F2207">
        <f>J2205-50</f>
        <v>2510</v>
      </c>
      <c r="G2207">
        <f>I2205-50</f>
        <v>3098.8</v>
      </c>
      <c r="H2207">
        <f>F2207+100</f>
        <v>2610</v>
      </c>
      <c r="I2207">
        <f>G2207+100</f>
        <v>3198.8</v>
      </c>
      <c r="J2207" s="24"/>
      <c r="K2207" s="24"/>
      <c r="L2207" s="24"/>
      <c r="M2207" s="24"/>
      <c r="N2207" s="24"/>
      <c r="O2207" s="24"/>
      <c r="P2207" s="2"/>
      <c r="Q2207" s="2"/>
      <c r="R2207" s="2"/>
      <c r="S2207" s="2"/>
      <c r="T2207" s="2"/>
      <c r="U2207" s="2"/>
    </row>
    <row r="2208" spans="1:22">
      <c r="D2208">
        <v>7</v>
      </c>
      <c r="E2208" t="s">
        <v>0</v>
      </c>
      <c r="F2208">
        <f>L2205-50</f>
        <v>2510</v>
      </c>
      <c r="G2208">
        <f>K2205-50</f>
        <v>3790</v>
      </c>
      <c r="H2208">
        <f t="shared" ref="H2208:I2212" si="134">F2208+100</f>
        <v>2610</v>
      </c>
      <c r="I2208">
        <f t="shared" si="134"/>
        <v>3890</v>
      </c>
      <c r="J2208" s="24"/>
      <c r="K2208" s="24"/>
      <c r="L2208" s="24"/>
      <c r="M2208" s="24"/>
      <c r="N2208" s="24"/>
      <c r="O2208" s="24"/>
      <c r="P2208" s="2"/>
      <c r="Q2208" s="2"/>
      <c r="R2208" s="2"/>
      <c r="S2208" s="2"/>
      <c r="T2208" s="2"/>
      <c r="U2208" s="2"/>
    </row>
    <row r="2209" spans="1:22">
      <c r="D2209">
        <v>7</v>
      </c>
      <c r="E2209" t="s">
        <v>0</v>
      </c>
      <c r="F2209">
        <f>N2205-50</f>
        <v>1486</v>
      </c>
      <c r="G2209">
        <f>M2205-50</f>
        <v>4558</v>
      </c>
      <c r="H2209">
        <f t="shared" si="134"/>
        <v>1586</v>
      </c>
      <c r="I2209">
        <f t="shared" si="134"/>
        <v>4658</v>
      </c>
      <c r="J2209" s="24"/>
      <c r="K2209" s="24"/>
      <c r="L2209" s="24"/>
      <c r="M2209" s="24"/>
      <c r="N2209" s="24"/>
      <c r="O2209" s="24"/>
      <c r="P2209" s="2"/>
      <c r="Q2209" s="2"/>
      <c r="R2209" s="2"/>
      <c r="S2209" s="2"/>
      <c r="T2209" s="2"/>
      <c r="U2209" s="2"/>
    </row>
    <row r="2210" spans="1:22">
      <c r="D2210">
        <v>7</v>
      </c>
      <c r="E2210" t="s">
        <v>0</v>
      </c>
      <c r="F2210">
        <f>P2205-50</f>
        <v>1486</v>
      </c>
      <c r="G2210">
        <f>O2205-50</f>
        <v>5070</v>
      </c>
      <c r="H2210">
        <f t="shared" si="134"/>
        <v>1586</v>
      </c>
      <c r="I2210">
        <f t="shared" si="134"/>
        <v>5170</v>
      </c>
      <c r="J2210" s="24"/>
      <c r="K2210" s="24"/>
      <c r="L2210" s="24"/>
      <c r="M2210" s="24"/>
      <c r="N2210" s="24"/>
      <c r="O2210" s="24"/>
      <c r="P2210" s="2"/>
      <c r="Q2210" s="2"/>
      <c r="R2210" s="2"/>
      <c r="S2210" s="2"/>
      <c r="T2210" s="2"/>
      <c r="U2210" s="2"/>
    </row>
    <row r="2211" spans="1:22">
      <c r="D2211">
        <v>7</v>
      </c>
      <c r="E2211" t="s">
        <v>0</v>
      </c>
      <c r="F2211">
        <f>R2205-50</f>
        <v>462</v>
      </c>
      <c r="G2211">
        <f>Q2205-50</f>
        <v>6222</v>
      </c>
      <c r="H2211">
        <f t="shared" si="134"/>
        <v>562</v>
      </c>
      <c r="I2211">
        <f t="shared" si="134"/>
        <v>6322</v>
      </c>
      <c r="J2211" s="24"/>
      <c r="K2211" s="24"/>
      <c r="L2211" s="24"/>
      <c r="M2211" s="24"/>
      <c r="N2211" s="24"/>
      <c r="O2211" s="24"/>
      <c r="P2211" s="2"/>
      <c r="Q2211" s="2"/>
      <c r="R2211" s="2"/>
      <c r="S2211" s="2"/>
      <c r="T2211" s="2"/>
      <c r="U2211" s="2"/>
    </row>
    <row r="2212" spans="1:22">
      <c r="D2212">
        <v>7</v>
      </c>
      <c r="E2212" t="s">
        <v>0</v>
      </c>
      <c r="F2212">
        <f>T2205-50</f>
        <v>462</v>
      </c>
      <c r="G2212">
        <f>S2205-50</f>
        <v>8910</v>
      </c>
      <c r="H2212">
        <f t="shared" si="134"/>
        <v>562</v>
      </c>
      <c r="I2212">
        <f t="shared" si="134"/>
        <v>9010</v>
      </c>
      <c r="J2212" s="24"/>
      <c r="K2212" s="24"/>
      <c r="L2212" s="24"/>
      <c r="M2212" s="24"/>
      <c r="N2212" s="24"/>
      <c r="O2212" s="24"/>
      <c r="P2212" s="2"/>
      <c r="Q2212" s="2"/>
      <c r="R2212" s="2"/>
      <c r="S2212" s="2"/>
      <c r="T2212" s="2"/>
      <c r="U2212" s="2"/>
    </row>
    <row r="2213" spans="1:22">
      <c r="D2213" s="2">
        <f t="shared" ref="D2213:D2218" si="135">ROUNDUP(6+F2213/2,0)</f>
        <v>7</v>
      </c>
      <c r="E2213" s="2" t="s">
        <v>6</v>
      </c>
      <c r="F2213" s="24">
        <f t="shared" ref="F2213:F2218" si="136">LEN(G2213)</f>
        <v>2</v>
      </c>
      <c r="G2213" s="24" t="s">
        <v>130</v>
      </c>
      <c r="H2213" s="2">
        <f t="shared" ref="H2213:H2218" si="137">F2207-300</f>
        <v>2210</v>
      </c>
      <c r="I2213" s="2">
        <f>G2207-100</f>
        <v>2998.8</v>
      </c>
      <c r="J2213" s="24"/>
      <c r="K2213" s="24"/>
      <c r="L2213" s="24"/>
      <c r="M2213" s="24"/>
      <c r="N2213" s="24"/>
      <c r="O2213" s="24"/>
      <c r="P2213" s="2"/>
      <c r="Q2213" s="2"/>
      <c r="R2213" s="2"/>
      <c r="S2213" s="2"/>
      <c r="T2213" s="2"/>
      <c r="U2213" s="2"/>
    </row>
    <row r="2214" spans="1:22">
      <c r="D2214" s="2">
        <f t="shared" si="135"/>
        <v>7</v>
      </c>
      <c r="E2214" s="2" t="s">
        <v>6</v>
      </c>
      <c r="F2214" s="24">
        <f t="shared" si="136"/>
        <v>2</v>
      </c>
      <c r="G2214" s="24" t="s">
        <v>285</v>
      </c>
      <c r="H2214" s="2">
        <f t="shared" si="137"/>
        <v>2210</v>
      </c>
      <c r="I2214" s="2">
        <f>G2208-250</f>
        <v>3540</v>
      </c>
      <c r="J2214" s="24"/>
      <c r="K2214" s="24"/>
      <c r="L2214" s="24"/>
      <c r="M2214" s="24"/>
      <c r="N2214" s="24"/>
      <c r="O2214" s="24"/>
      <c r="P2214" s="2"/>
      <c r="Q2214" s="2"/>
      <c r="R2214" s="2"/>
      <c r="S2214" s="2"/>
      <c r="T2214" s="2"/>
      <c r="U2214" s="2"/>
    </row>
    <row r="2215" spans="1:22">
      <c r="D2215" s="2">
        <f t="shared" si="135"/>
        <v>7</v>
      </c>
      <c r="E2215" s="2" t="s">
        <v>6</v>
      </c>
      <c r="F2215" s="24">
        <f t="shared" si="136"/>
        <v>2</v>
      </c>
      <c r="G2215" s="24" t="s">
        <v>131</v>
      </c>
      <c r="H2215" s="2">
        <f t="shared" si="137"/>
        <v>1186</v>
      </c>
      <c r="I2215" s="2">
        <f>G2209-150</f>
        <v>4408</v>
      </c>
      <c r="J2215" s="24"/>
      <c r="K2215" s="24"/>
      <c r="L2215" s="24"/>
      <c r="M2215" s="24"/>
      <c r="N2215" s="24"/>
      <c r="O2215" s="24"/>
      <c r="P2215" s="2"/>
      <c r="Q2215" s="2"/>
      <c r="R2215" s="2"/>
      <c r="S2215" s="2"/>
      <c r="T2215" s="2"/>
      <c r="U2215" s="2"/>
    </row>
    <row r="2216" spans="1:22">
      <c r="D2216" s="2">
        <f t="shared" si="135"/>
        <v>7</v>
      </c>
      <c r="E2216" s="2" t="s">
        <v>6</v>
      </c>
      <c r="F2216" s="24">
        <f t="shared" si="136"/>
        <v>2</v>
      </c>
      <c r="G2216" s="24" t="s">
        <v>664</v>
      </c>
      <c r="H2216" s="2">
        <f t="shared" si="137"/>
        <v>1186</v>
      </c>
      <c r="I2216" s="2">
        <f>G2210-250</f>
        <v>4820</v>
      </c>
      <c r="J2216" s="24"/>
      <c r="K2216" s="24"/>
      <c r="L2216" s="24"/>
      <c r="M2216" s="24"/>
      <c r="N2216" s="24"/>
      <c r="O2216" s="24"/>
      <c r="P2216" s="2"/>
      <c r="Q2216" s="2"/>
      <c r="R2216" s="2"/>
      <c r="S2216" s="2"/>
      <c r="T2216" s="2"/>
      <c r="U2216" s="2"/>
    </row>
    <row r="2217" spans="1:22">
      <c r="D2217" s="2">
        <f t="shared" si="135"/>
        <v>7</v>
      </c>
      <c r="E2217" s="2" t="s">
        <v>6</v>
      </c>
      <c r="F2217" s="24">
        <f t="shared" si="136"/>
        <v>2</v>
      </c>
      <c r="G2217" s="24" t="s">
        <v>665</v>
      </c>
      <c r="H2217" s="2">
        <f t="shared" si="137"/>
        <v>162</v>
      </c>
      <c r="I2217" s="2">
        <f>G2211-100</f>
        <v>6122</v>
      </c>
      <c r="J2217" s="24"/>
      <c r="K2217" s="24"/>
      <c r="L2217" s="24"/>
      <c r="M2217" s="24"/>
      <c r="N2217" s="24"/>
      <c r="O2217" s="24"/>
      <c r="P2217" s="2"/>
      <c r="Q2217" s="2"/>
      <c r="R2217" s="2"/>
      <c r="S2217" s="2"/>
      <c r="T2217" s="2"/>
      <c r="U2217" s="2"/>
    </row>
    <row r="2218" spans="1:22">
      <c r="D2218" s="2">
        <f t="shared" si="135"/>
        <v>7</v>
      </c>
      <c r="E2218" s="2" t="s">
        <v>6</v>
      </c>
      <c r="F2218" s="24">
        <f t="shared" si="136"/>
        <v>2</v>
      </c>
      <c r="G2218" s="24" t="s">
        <v>666</v>
      </c>
      <c r="H2218" s="2">
        <f t="shared" si="137"/>
        <v>162</v>
      </c>
      <c r="I2218" s="2">
        <f>G2212-100</f>
        <v>8810</v>
      </c>
      <c r="J2218" s="24"/>
      <c r="K2218" s="24"/>
      <c r="L2218" s="24"/>
      <c r="M2218" s="24"/>
      <c r="N2218" s="24"/>
      <c r="O2218" s="24"/>
      <c r="P2218" s="2"/>
      <c r="Q2218" s="2"/>
      <c r="R2218" s="2"/>
      <c r="S2218" s="2"/>
      <c r="T2218" s="2"/>
      <c r="U2218" s="2"/>
    </row>
    <row r="2219" spans="1:22">
      <c r="A2219" t="s">
        <v>2</v>
      </c>
      <c r="B2219" t="s">
        <v>3</v>
      </c>
      <c r="D2219" s="2">
        <v>4</v>
      </c>
      <c r="E2219" s="2" t="s">
        <v>15</v>
      </c>
      <c r="F2219" s="24">
        <v>4</v>
      </c>
      <c r="G2219" s="24"/>
      <c r="H2219" s="24"/>
      <c r="I2219" s="24"/>
      <c r="J2219" s="24"/>
    </row>
    <row r="2220" spans="1:22">
      <c r="A2220">
        <v>1536</v>
      </c>
      <c r="B2220">
        <v>4096</v>
      </c>
      <c r="D2220" s="2">
        <f>ROUNDUP(6+F2220/2,0)</f>
        <v>20</v>
      </c>
      <c r="E2220" s="2" t="s">
        <v>6</v>
      </c>
      <c r="F2220" s="24">
        <f>LEN(G2220)</f>
        <v>27</v>
      </c>
      <c r="G2220" s="24" t="s">
        <v>261</v>
      </c>
      <c r="H2220" s="24">
        <v>128</v>
      </c>
      <c r="I2220" s="24">
        <v>2560</v>
      </c>
    </row>
    <row r="2221" spans="1:22">
      <c r="A2221">
        <f>15*256</f>
        <v>3840</v>
      </c>
      <c r="B2221">
        <v>2560</v>
      </c>
      <c r="D2221" s="2">
        <v>18</v>
      </c>
      <c r="E2221" s="2" t="s">
        <v>111</v>
      </c>
      <c r="F2221" s="24">
        <v>200</v>
      </c>
      <c r="G2221" s="24">
        <f>A2220</f>
        <v>1536</v>
      </c>
      <c r="H2221" s="24">
        <f>B2220+100</f>
        <v>4196</v>
      </c>
      <c r="I2221" s="24">
        <f>G2221</f>
        <v>1536</v>
      </c>
      <c r="J2221" s="24">
        <f>B2223</f>
        <v>512</v>
      </c>
    </row>
    <row r="2222" spans="1:22">
      <c r="A2222">
        <v>5120</v>
      </c>
      <c r="B2222">
        <v>1536</v>
      </c>
      <c r="D2222" s="2">
        <v>18</v>
      </c>
      <c r="E2222" s="2" t="s">
        <v>111</v>
      </c>
      <c r="F2222" s="24">
        <v>200</v>
      </c>
      <c r="G2222" s="24">
        <f>A2220-100</f>
        <v>1436</v>
      </c>
      <c r="H2222" s="24">
        <f>B2220</f>
        <v>4096</v>
      </c>
      <c r="I2222" s="24">
        <f>A2223+512</f>
        <v>9472</v>
      </c>
      <c r="J2222" s="24">
        <f>B2220</f>
        <v>4096</v>
      </c>
      <c r="K2222" s="24"/>
      <c r="L2222" s="24"/>
      <c r="M2222" s="24"/>
      <c r="N2222" s="24"/>
      <c r="O2222" s="24"/>
      <c r="P2222" s="2"/>
      <c r="Q2222" s="2"/>
      <c r="R2222" s="2"/>
      <c r="S2222" s="2"/>
      <c r="T2222" s="2"/>
      <c r="U2222" s="2"/>
      <c r="V2222" s="2"/>
    </row>
    <row r="2223" spans="1:22">
      <c r="A2223">
        <f>35*256</f>
        <v>8960</v>
      </c>
      <c r="B2223">
        <v>512</v>
      </c>
      <c r="D2223" s="2">
        <v>64</v>
      </c>
      <c r="E2223" s="2" t="s">
        <v>114</v>
      </c>
      <c r="F2223" s="24">
        <v>200</v>
      </c>
      <c r="G2223" s="24">
        <f>A2220</f>
        <v>1536</v>
      </c>
      <c r="H2223" s="24">
        <f>B2220+512</f>
        <v>4608</v>
      </c>
      <c r="I2223" s="24">
        <f>A2223</f>
        <v>8960</v>
      </c>
      <c r="J2223" s="24">
        <f>H2223</f>
        <v>4608</v>
      </c>
      <c r="K2223" s="24">
        <f>A2222</f>
        <v>5120</v>
      </c>
      <c r="L2223" s="24">
        <f>J2223</f>
        <v>4608</v>
      </c>
      <c r="M2223" s="24"/>
      <c r="N2223" s="24"/>
    </row>
    <row r="2224" spans="1:22">
      <c r="D2224" s="2">
        <v>64</v>
      </c>
      <c r="E2224" s="2" t="s">
        <v>114</v>
      </c>
      <c r="F2224" s="24">
        <v>200</v>
      </c>
      <c r="G2224" s="24">
        <f>A2220-512</f>
        <v>1024</v>
      </c>
      <c r="H2224" s="24">
        <f>B2220</f>
        <v>4096</v>
      </c>
      <c r="I2224" s="24">
        <f>G2224</f>
        <v>1024</v>
      </c>
      <c r="J2224" s="24">
        <f>B2223</f>
        <v>512</v>
      </c>
      <c r="K2224" s="24">
        <f>I2224</f>
        <v>1024</v>
      </c>
      <c r="L2224" s="24">
        <f>B2222</f>
        <v>1536</v>
      </c>
      <c r="M2224" s="24"/>
      <c r="N2224" s="24"/>
    </row>
    <row r="2225" spans="4:19">
      <c r="D2225">
        <v>12</v>
      </c>
      <c r="E2225" t="s">
        <v>4</v>
      </c>
      <c r="F2225" s="6">
        <v>4</v>
      </c>
      <c r="G2225" s="24">
        <f>A2221-F2221</f>
        <v>3640</v>
      </c>
      <c r="H2225" s="6">
        <f>H2223+F2223/2</f>
        <v>4708</v>
      </c>
      <c r="I2225" s="6">
        <f>G2225</f>
        <v>3640</v>
      </c>
      <c r="J2225" s="6">
        <f>H2225-F2223</f>
        <v>4508</v>
      </c>
      <c r="K2225" s="6">
        <f>A2221+F2221</f>
        <v>4040</v>
      </c>
      <c r="L2225" s="6">
        <f>H2225</f>
        <v>4708</v>
      </c>
      <c r="M2225" s="6">
        <f>K2225</f>
        <v>4040</v>
      </c>
      <c r="N2225" s="6">
        <f>J2225</f>
        <v>4508</v>
      </c>
    </row>
    <row r="2226" spans="4:19">
      <c r="D2226">
        <v>8</v>
      </c>
      <c r="E2226" t="s">
        <v>1</v>
      </c>
      <c r="F2226" s="6">
        <v>2</v>
      </c>
      <c r="G2226" s="24">
        <f>A2221</f>
        <v>3840</v>
      </c>
      <c r="H2226" s="6">
        <f>H2225+F2223/2</f>
        <v>4808</v>
      </c>
      <c r="I2226" s="6">
        <f>G2226</f>
        <v>3840</v>
      </c>
      <c r="J2226" s="6">
        <f>J2225-F2223/2</f>
        <v>4408</v>
      </c>
    </row>
    <row r="2227" spans="4:19">
      <c r="D2227">
        <v>12</v>
      </c>
      <c r="E2227" t="s">
        <v>4</v>
      </c>
      <c r="F2227" s="6">
        <v>4</v>
      </c>
      <c r="G2227" s="24">
        <f>G2224+F2224/2</f>
        <v>1124</v>
      </c>
      <c r="H2227" s="6">
        <f>B2221+F2224</f>
        <v>2760</v>
      </c>
      <c r="I2227" s="6">
        <f>G2224-F2224/2</f>
        <v>924</v>
      </c>
      <c r="J2227" s="6">
        <f>H2227</f>
        <v>2760</v>
      </c>
      <c r="K2227" s="6">
        <f>G2227</f>
        <v>1124</v>
      </c>
      <c r="L2227" s="6">
        <f>B2221-F2224</f>
        <v>2360</v>
      </c>
      <c r="M2227" s="6">
        <f>I2227</f>
        <v>924</v>
      </c>
      <c r="N2227" s="6">
        <f>L2227</f>
        <v>2360</v>
      </c>
    </row>
    <row r="2228" spans="4:19">
      <c r="D2228">
        <v>8</v>
      </c>
      <c r="E2228" t="s">
        <v>1</v>
      </c>
      <c r="F2228" s="6">
        <v>2</v>
      </c>
      <c r="G2228" s="24">
        <f>G2224+F2224</f>
        <v>1224</v>
      </c>
      <c r="H2228" s="6">
        <f>H2227-F2224</f>
        <v>2560</v>
      </c>
      <c r="I2228" s="6">
        <f>G2224-F2224</f>
        <v>824</v>
      </c>
      <c r="J2228" s="6">
        <f>J2227-F2224</f>
        <v>2560</v>
      </c>
      <c r="O2228" s="24"/>
      <c r="P2228" s="2"/>
      <c r="Q2228" s="2"/>
      <c r="R2228" s="2"/>
      <c r="S2228" s="2"/>
    </row>
    <row r="2229" spans="4:19">
      <c r="D2229" s="2">
        <v>44</v>
      </c>
      <c r="E2229" s="2" t="s">
        <v>112</v>
      </c>
      <c r="F2229" s="24">
        <v>200</v>
      </c>
      <c r="G2229" s="24">
        <f>G2223</f>
        <v>1536</v>
      </c>
      <c r="H2229" s="24">
        <f>H2223+512</f>
        <v>5120</v>
      </c>
      <c r="I2229" s="24">
        <f>I2223</f>
        <v>8960</v>
      </c>
      <c r="J2229" s="24">
        <f>H2229</f>
        <v>5120</v>
      </c>
      <c r="K2229" s="24"/>
      <c r="L2229" s="24"/>
      <c r="Q2229" s="2"/>
      <c r="R2229" s="2"/>
    </row>
    <row r="2230" spans="4:19">
      <c r="D2230" s="2">
        <v>44</v>
      </c>
      <c r="E2230" s="2" t="s">
        <v>112</v>
      </c>
      <c r="F2230" s="24">
        <v>200</v>
      </c>
      <c r="G2230" s="24">
        <f>G2224-512</f>
        <v>512</v>
      </c>
      <c r="H2230" s="24">
        <f>H2224</f>
        <v>4096</v>
      </c>
      <c r="I2230" s="24">
        <f>G2230</f>
        <v>512</v>
      </c>
      <c r="J2230" s="24">
        <f>J2224</f>
        <v>512</v>
      </c>
    </row>
    <row r="2231" spans="4:19">
      <c r="D2231" s="2">
        <v>4</v>
      </c>
      <c r="E2231" s="2" t="s">
        <v>15</v>
      </c>
      <c r="F2231" s="24">
        <v>5</v>
      </c>
      <c r="G2231" s="24"/>
      <c r="H2231" s="24"/>
      <c r="I2231" s="24"/>
    </row>
    <row r="2232" spans="4:19">
      <c r="D2232" s="2">
        <v>7</v>
      </c>
      <c r="E2232" s="2" t="s">
        <v>5</v>
      </c>
      <c r="F2232" s="24">
        <f>B2221</f>
        <v>2560</v>
      </c>
      <c r="G2232" s="24">
        <f>A2221</f>
        <v>3840</v>
      </c>
      <c r="H2232" s="24">
        <f>B2220</f>
        <v>4096</v>
      </c>
      <c r="I2232" s="24">
        <f>A2223</f>
        <v>8960</v>
      </c>
      <c r="J2232" s="24"/>
      <c r="K2232" s="24"/>
      <c r="L2232" s="24"/>
      <c r="M2232" s="24"/>
      <c r="N2232" s="24"/>
      <c r="O2232" s="24"/>
      <c r="P2232" s="2"/>
      <c r="Q2232" s="2"/>
      <c r="R2232" s="2"/>
      <c r="S2232" s="2"/>
    </row>
    <row r="2233" spans="4:19">
      <c r="D2233" s="2">
        <v>7</v>
      </c>
      <c r="E2233" s="2" t="s">
        <v>5</v>
      </c>
      <c r="F2233" s="24">
        <f>B2222</f>
        <v>1536</v>
      </c>
      <c r="G2233" s="24">
        <f>A2222</f>
        <v>5120</v>
      </c>
      <c r="H2233" s="6">
        <f>H2232</f>
        <v>4096</v>
      </c>
      <c r="I2233" s="6">
        <f>I2232</f>
        <v>8960</v>
      </c>
      <c r="K2233" s="24"/>
      <c r="L2233" s="24"/>
      <c r="Q2233" s="2"/>
      <c r="R2233" s="2"/>
    </row>
    <row r="2234" spans="4:19">
      <c r="D2234" s="2"/>
      <c r="E2234" s="6" t="s">
        <v>515</v>
      </c>
      <c r="F2234" s="6" t="s">
        <v>591</v>
      </c>
      <c r="G2234" s="24">
        <f>(A2220+A2221)/2-256</f>
        <v>2432</v>
      </c>
      <c r="H2234" s="24">
        <f>B2220+192</f>
        <v>4288</v>
      </c>
      <c r="I2234" s="24">
        <f>(A2221+A2222)/2-256</f>
        <v>4224</v>
      </c>
      <c r="J2234" s="24">
        <f>(A2222+A2223)/2-256</f>
        <v>6784</v>
      </c>
    </row>
    <row r="2235" spans="4:19">
      <c r="D2235" s="2">
        <f t="shared" ref="D2235:D2241" si="138">ROUNDUP(6+F2235/2,0)</f>
        <v>7</v>
      </c>
      <c r="E2235" s="2" t="s">
        <v>6</v>
      </c>
      <c r="F2235" s="24">
        <f t="shared" ref="F2235:F2241" si="139">LEN(G2235)</f>
        <v>2</v>
      </c>
      <c r="G2235" s="24" t="s">
        <v>24</v>
      </c>
      <c r="H2235" s="24">
        <f>H2234+512</f>
        <v>4800</v>
      </c>
      <c r="I2235" s="24">
        <f>(A2220+A2223)/2-256</f>
        <v>4992</v>
      </c>
      <c r="K2235" s="24"/>
      <c r="L2235" s="24"/>
      <c r="Q2235" s="2"/>
      <c r="R2235" s="2"/>
    </row>
    <row r="2236" spans="4:19">
      <c r="D2236" s="2">
        <f t="shared" si="138"/>
        <v>8</v>
      </c>
      <c r="E2236" s="2" t="s">
        <v>6</v>
      </c>
      <c r="F2236" s="24">
        <f t="shared" si="139"/>
        <v>4</v>
      </c>
      <c r="G2236" s="24" t="s">
        <v>263</v>
      </c>
      <c r="H2236" s="24">
        <f>(B2220+B2221)/2</f>
        <v>3328</v>
      </c>
      <c r="I2236" s="24">
        <f>(A2220*2+A2221)/3</f>
        <v>2304</v>
      </c>
    </row>
    <row r="2237" spans="4:19">
      <c r="D2237" s="2">
        <f t="shared" si="138"/>
        <v>8</v>
      </c>
      <c r="E2237" s="2" t="s">
        <v>6</v>
      </c>
      <c r="F2237" s="24">
        <f t="shared" si="139"/>
        <v>4</v>
      </c>
      <c r="G2237" s="24" t="s">
        <v>264</v>
      </c>
      <c r="H2237" s="24">
        <f>(B2221+B2222)/2</f>
        <v>2048</v>
      </c>
      <c r="I2237" s="24">
        <f>(A2221*2+A2222)/3</f>
        <v>4266.666666666667</v>
      </c>
    </row>
    <row r="2238" spans="4:19">
      <c r="D2238" s="2"/>
      <c r="E2238" s="24" t="s">
        <v>517</v>
      </c>
      <c r="F2238" s="24" t="s">
        <v>592</v>
      </c>
      <c r="G2238" s="24">
        <f>(A2222*2+A2223)/3</f>
        <v>6400</v>
      </c>
      <c r="H2238" s="24">
        <f>(B2222+B2223)/2</f>
        <v>1024</v>
      </c>
      <c r="I2238" s="24">
        <f>H2237</f>
        <v>2048</v>
      </c>
      <c r="J2238" s="24">
        <f>H2236</f>
        <v>3328</v>
      </c>
      <c r="L2238" s="24"/>
      <c r="M2238" s="24"/>
      <c r="N2238" s="24"/>
      <c r="O2238" s="24"/>
      <c r="P2238" s="2"/>
      <c r="Q2238" s="2"/>
      <c r="R2238" s="2"/>
      <c r="S2238" s="2"/>
    </row>
    <row r="2239" spans="4:19">
      <c r="D2239" s="2">
        <f t="shared" si="138"/>
        <v>10</v>
      </c>
      <c r="E2239" s="2" t="s">
        <v>6</v>
      </c>
      <c r="F2239" s="24">
        <f t="shared" si="139"/>
        <v>7</v>
      </c>
      <c r="G2239" s="24" t="s">
        <v>265</v>
      </c>
      <c r="H2239" s="24">
        <f>H2236</f>
        <v>3328</v>
      </c>
      <c r="I2239" s="24">
        <f>I2237-256</f>
        <v>4010.666666666667</v>
      </c>
      <c r="K2239" s="24"/>
      <c r="L2239" s="24"/>
      <c r="Q2239" s="2"/>
      <c r="R2239" s="2"/>
    </row>
    <row r="2240" spans="4:19">
      <c r="D2240" s="2">
        <f t="shared" si="138"/>
        <v>7</v>
      </c>
      <c r="E2240" s="2" t="s">
        <v>6</v>
      </c>
      <c r="F2240" s="24">
        <f t="shared" si="139"/>
        <v>1</v>
      </c>
      <c r="G2240" s="24" t="s">
        <v>22</v>
      </c>
      <c r="H2240" s="24">
        <f>B2220-128</f>
        <v>3968</v>
      </c>
      <c r="I2240" s="24">
        <f>A2223+640</f>
        <v>9600</v>
      </c>
      <c r="J2240" s="24"/>
      <c r="K2240" s="24"/>
      <c r="L2240" s="24"/>
      <c r="M2240" s="24"/>
      <c r="N2240" s="24"/>
      <c r="O2240" s="24"/>
      <c r="P2240" s="2"/>
      <c r="Q2240" s="2"/>
      <c r="R2240" s="2"/>
      <c r="S2240" s="2"/>
    </row>
    <row r="2241" spans="1:18">
      <c r="D2241" s="2">
        <f t="shared" si="138"/>
        <v>7</v>
      </c>
      <c r="E2241" s="2" t="s">
        <v>6</v>
      </c>
      <c r="F2241" s="24">
        <f t="shared" si="139"/>
        <v>1</v>
      </c>
      <c r="G2241" s="24" t="s">
        <v>21</v>
      </c>
      <c r="H2241" s="24">
        <f>B2223-384</f>
        <v>128</v>
      </c>
      <c r="I2241" s="24">
        <f>A2220-64</f>
        <v>1472</v>
      </c>
      <c r="K2241" s="24"/>
      <c r="L2241" s="24"/>
      <c r="Q2241" s="2"/>
      <c r="R2241" s="2"/>
    </row>
    <row r="2242" spans="1:18">
      <c r="D2242" s="2">
        <v>4</v>
      </c>
      <c r="E2242" s="2" t="s">
        <v>15</v>
      </c>
      <c r="F2242" s="24">
        <v>1</v>
      </c>
      <c r="G2242" s="24"/>
      <c r="H2242" s="24"/>
      <c r="I2242" s="24"/>
    </row>
    <row r="2243" spans="1:18">
      <c r="D2243" s="2"/>
      <c r="E2243" s="6" t="s">
        <v>517</v>
      </c>
      <c r="F2243" s="6" t="s">
        <v>593</v>
      </c>
      <c r="G2243" s="24">
        <f>A2220-896</f>
        <v>640</v>
      </c>
      <c r="H2243" s="24">
        <f>(B2220+B2221)/2+256</f>
        <v>3584</v>
      </c>
      <c r="I2243" s="24">
        <f>(B2221+B2222)/2+256</f>
        <v>2304</v>
      </c>
      <c r="J2243" s="24">
        <f>(B2222+B2223)/2+256</f>
        <v>1280</v>
      </c>
    </row>
    <row r="2244" spans="1:18">
      <c r="D2244" s="2">
        <f>ROUNDUP(6+F2244/2,0)</f>
        <v>7</v>
      </c>
      <c r="E2244" s="2" t="s">
        <v>6</v>
      </c>
      <c r="F2244" s="24">
        <f>LEN(G2244)</f>
        <v>2</v>
      </c>
      <c r="G2244" s="24" t="s">
        <v>25</v>
      </c>
      <c r="H2244" s="24">
        <f>(B2223+B2220)/2+256</f>
        <v>2560</v>
      </c>
      <c r="I2244" s="24">
        <f>G2243-512</f>
        <v>128</v>
      </c>
    </row>
    <row r="2247" spans="1:18">
      <c r="A2247" s="48" t="s">
        <v>383</v>
      </c>
      <c r="B2247" s="1" t="s">
        <v>803</v>
      </c>
      <c r="D2247" t="s">
        <v>449</v>
      </c>
      <c r="E2247">
        <v>52695</v>
      </c>
      <c r="F2247" s="6">
        <v>39622</v>
      </c>
      <c r="G2247" s="6">
        <v>0</v>
      </c>
      <c r="H2247" s="6">
        <v>0</v>
      </c>
      <c r="I2247" s="6">
        <v>0</v>
      </c>
      <c r="J2247" s="6">
        <v>11000</v>
      </c>
      <c r="K2247" s="6">
        <v>10500</v>
      </c>
      <c r="L2247" s="6">
        <v>1920</v>
      </c>
      <c r="M2247" s="6">
        <v>0</v>
      </c>
      <c r="N2247" s="6">
        <v>0</v>
      </c>
    </row>
    <row r="2248" spans="1:18">
      <c r="A2248" s="62" t="s">
        <v>812</v>
      </c>
      <c r="C2248">
        <v>0</v>
      </c>
      <c r="D2248">
        <v>28</v>
      </c>
      <c r="E2248" t="s">
        <v>12</v>
      </c>
      <c r="F2248" s="6">
        <v>360</v>
      </c>
      <c r="G2248" s="6">
        <v>0</v>
      </c>
      <c r="H2248" s="6">
        <v>0</v>
      </c>
      <c r="I2248" s="6">
        <v>0</v>
      </c>
      <c r="J2248" s="6">
        <v>400</v>
      </c>
      <c r="K2248" s="6">
        <v>0</v>
      </c>
      <c r="L2248" s="6">
        <v>0</v>
      </c>
      <c r="M2248" s="6">
        <v>0</v>
      </c>
      <c r="N2248" s="6">
        <v>0</v>
      </c>
    </row>
    <row r="2249" spans="1:18">
      <c r="D2249">
        <v>5</v>
      </c>
      <c r="E2249" t="s">
        <v>59</v>
      </c>
      <c r="F2249" s="6">
        <v>1</v>
      </c>
      <c r="G2249" s="6">
        <v>0</v>
      </c>
    </row>
    <row r="2250" spans="1:18">
      <c r="C2250">
        <v>1</v>
      </c>
      <c r="D2250">
        <v>8</v>
      </c>
      <c r="E2250" t="s">
        <v>14</v>
      </c>
      <c r="F2250" s="6">
        <v>0</v>
      </c>
      <c r="G2250" s="6">
        <v>16</v>
      </c>
      <c r="H2250" s="6">
        <v>0</v>
      </c>
      <c r="I2250" s="6">
        <v>0</v>
      </c>
      <c r="J2250" s="6">
        <v>0</v>
      </c>
      <c r="M2250" s="44"/>
      <c r="N2250" s="45"/>
    </row>
    <row r="2251" spans="1:18">
      <c r="C2251">
        <v>2</v>
      </c>
      <c r="D2251">
        <v>7</v>
      </c>
      <c r="E2251" t="s">
        <v>11</v>
      </c>
      <c r="F2251" s="6">
        <v>0</v>
      </c>
      <c r="G2251" s="24">
        <f>255*256+192</f>
        <v>65472</v>
      </c>
      <c r="H2251" s="24">
        <v>192</v>
      </c>
      <c r="I2251" s="6">
        <v>0</v>
      </c>
    </row>
    <row r="2252" spans="1:18">
      <c r="C2252">
        <v>3</v>
      </c>
      <c r="D2252">
        <v>7</v>
      </c>
      <c r="E2252" t="s">
        <v>11</v>
      </c>
      <c r="F2252" s="6">
        <v>0</v>
      </c>
      <c r="G2252" s="6">
        <v>0</v>
      </c>
      <c r="H2252" s="6">
        <v>0</v>
      </c>
      <c r="I2252" s="6">
        <v>0</v>
      </c>
    </row>
    <row r="2253" spans="1:18">
      <c r="C2253">
        <v>4</v>
      </c>
      <c r="D2253">
        <v>7</v>
      </c>
      <c r="E2253" t="s">
        <v>11</v>
      </c>
      <c r="F2253" s="6">
        <v>0</v>
      </c>
      <c r="G2253" s="24">
        <f>192*256</f>
        <v>49152</v>
      </c>
      <c r="H2253" s="24">
        <v>0</v>
      </c>
      <c r="I2253" s="6">
        <v>0</v>
      </c>
    </row>
    <row r="2254" spans="1:18">
      <c r="D2254">
        <v>4</v>
      </c>
      <c r="E2254" t="s">
        <v>15</v>
      </c>
      <c r="F2254" s="6">
        <v>0</v>
      </c>
      <c r="G2254" s="24"/>
    </row>
    <row r="2255" spans="1:18">
      <c r="D2255">
        <v>4</v>
      </c>
      <c r="E2255" t="s">
        <v>15</v>
      </c>
      <c r="F2255" s="6">
        <v>1</v>
      </c>
    </row>
    <row r="2256" spans="1:18">
      <c r="D2256">
        <v>4</v>
      </c>
      <c r="E2256" t="s">
        <v>15</v>
      </c>
      <c r="F2256" s="6">
        <v>2</v>
      </c>
      <c r="G2256" s="24"/>
    </row>
    <row r="2257" spans="1:14">
      <c r="A2257" t="s">
        <v>266</v>
      </c>
      <c r="B2257" t="s">
        <v>2</v>
      </c>
      <c r="C2257" t="s">
        <v>3</v>
      </c>
      <c r="D2257" s="2">
        <v>18</v>
      </c>
      <c r="E2257" s="2" t="s">
        <v>111</v>
      </c>
      <c r="F2257" s="24">
        <v>200</v>
      </c>
      <c r="G2257" s="24">
        <f>B2258-200</f>
        <v>1000</v>
      </c>
      <c r="H2257" s="24">
        <f>C2258</f>
        <v>3000</v>
      </c>
      <c r="I2257" s="24">
        <f>G2257+600+B2269+B2270</f>
        <v>3800</v>
      </c>
      <c r="J2257" s="24">
        <f>C2258</f>
        <v>3000</v>
      </c>
      <c r="K2257" s="24"/>
      <c r="L2257" s="24"/>
    </row>
    <row r="2258" spans="1:14">
      <c r="B2258">
        <v>1200</v>
      </c>
      <c r="C2258">
        <v>3000</v>
      </c>
      <c r="D2258" s="2">
        <v>18</v>
      </c>
      <c r="E2258" s="2" t="s">
        <v>111</v>
      </c>
      <c r="F2258" s="24">
        <v>200</v>
      </c>
      <c r="G2258" s="24">
        <f>B2258</f>
        <v>1200</v>
      </c>
      <c r="H2258" s="24">
        <f>C2258+200</f>
        <v>3200</v>
      </c>
      <c r="I2258" s="24">
        <f>G2258</f>
        <v>1200</v>
      </c>
      <c r="J2258" s="24">
        <f>H2258-3000</f>
        <v>200</v>
      </c>
      <c r="K2258" s="24"/>
      <c r="L2258" s="24"/>
    </row>
    <row r="2259" spans="1:14">
      <c r="D2259" s="2">
        <f>ROUNDUP(6+F2259/2,0)</f>
        <v>7</v>
      </c>
      <c r="E2259" s="2" t="s">
        <v>6</v>
      </c>
      <c r="F2259" s="24">
        <f>LEN(G2259)</f>
        <v>1</v>
      </c>
      <c r="G2259" s="24" t="s">
        <v>42</v>
      </c>
      <c r="H2259" s="24">
        <f>J2258-150</f>
        <v>50</v>
      </c>
      <c r="I2259" s="24">
        <f>G2258+200</f>
        <v>1400</v>
      </c>
      <c r="J2259" s="24"/>
      <c r="K2259" s="24"/>
      <c r="L2259" s="24"/>
      <c r="M2259" s="24"/>
      <c r="N2259" s="24"/>
    </row>
    <row r="2260" spans="1:14">
      <c r="D2260" s="2">
        <f>ROUNDUP(6+F2260/2,0)</f>
        <v>7</v>
      </c>
      <c r="E2260" s="2" t="s">
        <v>6</v>
      </c>
      <c r="F2260" s="24">
        <f>LEN(G2260)</f>
        <v>1</v>
      </c>
      <c r="G2260" s="24" t="s">
        <v>22</v>
      </c>
      <c r="H2260" s="24">
        <f>H2257-150</f>
        <v>2850</v>
      </c>
      <c r="I2260" s="24">
        <f>I2257+100</f>
        <v>3900</v>
      </c>
      <c r="J2260" s="24"/>
      <c r="K2260" s="24"/>
      <c r="L2260" s="24"/>
    </row>
    <row r="2261" spans="1:14">
      <c r="A2261" s="2"/>
      <c r="B2261" s="2"/>
      <c r="C2261" s="2"/>
      <c r="D2261" s="2">
        <f>F2261*2+4</f>
        <v>8</v>
      </c>
      <c r="E2261" s="2" t="s">
        <v>1</v>
      </c>
      <c r="F2261" s="24">
        <v>2</v>
      </c>
      <c r="G2261" s="24">
        <f>B2258-100</f>
        <v>1100</v>
      </c>
      <c r="H2261" s="24">
        <f>C2258-1000</f>
        <v>2000</v>
      </c>
      <c r="I2261" s="24">
        <f>B2258+100</f>
        <v>1300</v>
      </c>
      <c r="J2261" s="24">
        <f>H2261</f>
        <v>2000</v>
      </c>
      <c r="K2261" s="24"/>
      <c r="L2261" s="24"/>
      <c r="M2261" s="24"/>
      <c r="N2261" s="24"/>
    </row>
    <row r="2262" spans="1:14">
      <c r="A2262" s="2"/>
      <c r="B2262" s="2"/>
      <c r="C2262" s="2"/>
      <c r="D2262" s="2">
        <f>F2262*2+4</f>
        <v>8</v>
      </c>
      <c r="E2262" s="2" t="s">
        <v>1</v>
      </c>
      <c r="F2262" s="24">
        <v>2</v>
      </c>
      <c r="G2262" s="24">
        <f>G2261</f>
        <v>1100</v>
      </c>
      <c r="H2262" s="24">
        <f>C2258-2000</f>
        <v>1000</v>
      </c>
      <c r="I2262" s="24">
        <f>I2261</f>
        <v>1300</v>
      </c>
      <c r="J2262" s="24">
        <f>H2262</f>
        <v>1000</v>
      </c>
      <c r="K2262" s="24"/>
      <c r="L2262" s="24"/>
      <c r="M2262" s="24"/>
      <c r="N2262" s="24"/>
    </row>
    <row r="2263" spans="1:14">
      <c r="A2263" s="2"/>
      <c r="B2263" s="2"/>
      <c r="C2263" s="2"/>
      <c r="D2263" s="2">
        <f>ROUNDUP(6+F2263/2,0)</f>
        <v>7</v>
      </c>
      <c r="E2263" s="2" t="s">
        <v>6</v>
      </c>
      <c r="F2263" s="24">
        <f>LEN(G2263)</f>
        <v>1</v>
      </c>
      <c r="G2263" s="24">
        <v>1</v>
      </c>
      <c r="H2263" s="24">
        <f>H2261-150</f>
        <v>1850</v>
      </c>
      <c r="I2263" s="24">
        <f>G2261-200</f>
        <v>900</v>
      </c>
      <c r="K2263" s="24"/>
      <c r="L2263" s="24"/>
      <c r="M2263" s="24"/>
      <c r="N2263" s="24"/>
    </row>
    <row r="2264" spans="1:14">
      <c r="A2264" s="2"/>
      <c r="B2264" s="2"/>
      <c r="C2264" s="2"/>
      <c r="D2264" s="2">
        <f>ROUNDUP(6+F2264/2,0)</f>
        <v>7</v>
      </c>
      <c r="E2264" s="2" t="s">
        <v>6</v>
      </c>
      <c r="F2264" s="24">
        <f>LEN(G2264)</f>
        <v>1</v>
      </c>
      <c r="G2264" s="24">
        <v>2</v>
      </c>
      <c r="H2264" s="24">
        <f>H2262-150</f>
        <v>850</v>
      </c>
      <c r="I2264" s="24">
        <f>I2263</f>
        <v>900</v>
      </c>
      <c r="J2264" s="24"/>
      <c r="K2264" s="24"/>
      <c r="L2264" s="24"/>
      <c r="M2264" s="24"/>
      <c r="N2264" s="24"/>
    </row>
    <row r="2265" spans="1:14">
      <c r="A2265" s="2"/>
      <c r="B2265" s="2"/>
      <c r="C2265" s="2"/>
      <c r="D2265" s="2">
        <f>ROUNDUP(6+F2265/2,0)</f>
        <v>9</v>
      </c>
      <c r="E2265" s="2" t="s">
        <v>6</v>
      </c>
      <c r="F2265" s="24">
        <f>LEN(G2265)</f>
        <v>5</v>
      </c>
      <c r="G2265" s="24" t="s">
        <v>270</v>
      </c>
      <c r="H2265" s="24">
        <f>H2264+300</f>
        <v>1150</v>
      </c>
      <c r="I2265" s="24">
        <f>I2264-800</f>
        <v>100</v>
      </c>
      <c r="J2265" s="24"/>
      <c r="K2265" s="24"/>
      <c r="L2265" s="24"/>
      <c r="M2265" s="24"/>
      <c r="N2265" s="24"/>
    </row>
    <row r="2266" spans="1:14">
      <c r="A2266" s="2"/>
      <c r="B2266" s="2"/>
      <c r="C2266" s="2"/>
      <c r="D2266" s="2">
        <f>ROUNDUP(6+F2266/2,0)</f>
        <v>8</v>
      </c>
      <c r="E2266" s="2" t="s">
        <v>6</v>
      </c>
      <c r="F2266" s="24">
        <f>LEN(G2266)</f>
        <v>4</v>
      </c>
      <c r="G2266" s="40" t="s">
        <v>269</v>
      </c>
      <c r="H2266" s="24">
        <f>H2265+300</f>
        <v>1450</v>
      </c>
      <c r="I2266" s="24">
        <f>I2265</f>
        <v>100</v>
      </c>
      <c r="J2266" s="24"/>
      <c r="K2266" s="40"/>
      <c r="L2266" s="24"/>
      <c r="M2266" s="24"/>
      <c r="N2266" s="24"/>
    </row>
    <row r="2267" spans="1:14">
      <c r="A2267" s="2"/>
      <c r="B2267" s="2"/>
      <c r="C2267" s="2"/>
      <c r="D2267" s="2">
        <v>7</v>
      </c>
      <c r="E2267" s="2" t="s">
        <v>0</v>
      </c>
      <c r="F2267" s="24">
        <f>H2267+400</f>
        <v>1100</v>
      </c>
      <c r="G2267" s="24">
        <f>I2267+400</f>
        <v>500</v>
      </c>
      <c r="H2267" s="24">
        <f>H2268-50</f>
        <v>700</v>
      </c>
      <c r="I2267" s="24">
        <f>I2266</f>
        <v>100</v>
      </c>
      <c r="J2267" s="24"/>
      <c r="K2267" s="24"/>
      <c r="L2267" s="24"/>
      <c r="M2267" s="24"/>
      <c r="N2267" s="24"/>
    </row>
    <row r="2268" spans="1:14">
      <c r="A2268" s="2"/>
      <c r="B2268" s="2"/>
      <c r="C2268" s="2"/>
      <c r="D2268" s="2">
        <f>ROUNDUP(6+F2268/2,0)</f>
        <v>7</v>
      </c>
      <c r="E2268" s="2" t="s">
        <v>6</v>
      </c>
      <c r="F2268" s="24">
        <f>LEN(G2268)</f>
        <v>1</v>
      </c>
      <c r="G2268" s="40">
        <v>1</v>
      </c>
      <c r="H2268" s="24">
        <f>H2265-400</f>
        <v>750</v>
      </c>
      <c r="I2268" s="24">
        <f>I2266+128</f>
        <v>228</v>
      </c>
      <c r="J2268" s="24"/>
      <c r="K2268" s="24"/>
      <c r="L2268" s="24"/>
      <c r="M2268" s="24"/>
      <c r="N2268" s="24"/>
    </row>
    <row r="2269" spans="1:14">
      <c r="A2269" s="2"/>
      <c r="B2269" s="2">
        <v>1100</v>
      </c>
      <c r="C2269" s="2"/>
      <c r="D2269" s="2">
        <v>7</v>
      </c>
      <c r="E2269" s="2" t="s">
        <v>5</v>
      </c>
      <c r="F2269" s="24">
        <f>C2258</f>
        <v>3000</v>
      </c>
      <c r="G2269" s="24">
        <f>B2258</f>
        <v>1200</v>
      </c>
      <c r="H2269" s="24">
        <f>F2269-1000</f>
        <v>2000</v>
      </c>
      <c r="I2269" s="24">
        <f>B2258+B2269</f>
        <v>2300</v>
      </c>
      <c r="J2269" s="24"/>
      <c r="K2269" s="24"/>
      <c r="L2269" s="24"/>
      <c r="M2269" s="24"/>
      <c r="N2269" s="24"/>
    </row>
    <row r="2270" spans="1:14">
      <c r="A2270" s="2"/>
      <c r="B2270" s="2">
        <v>1100</v>
      </c>
      <c r="C2270" s="2"/>
      <c r="D2270" s="2">
        <v>7</v>
      </c>
      <c r="E2270" s="2" t="s">
        <v>5</v>
      </c>
      <c r="F2270" s="24">
        <f>F2269</f>
        <v>3000</v>
      </c>
      <c r="G2270" s="24">
        <f>I2269</f>
        <v>2300</v>
      </c>
      <c r="H2270" s="24">
        <f>F2270-2000</f>
        <v>1000</v>
      </c>
      <c r="I2270" s="24">
        <f>G2270+B2270</f>
        <v>3400</v>
      </c>
      <c r="J2270" s="24"/>
      <c r="K2270" s="24"/>
      <c r="L2270" s="24"/>
      <c r="M2270" s="24"/>
      <c r="N2270" s="24"/>
    </row>
    <row r="2271" spans="1:14">
      <c r="A2271" s="2"/>
      <c r="B2271" s="2"/>
      <c r="C2271" s="2"/>
      <c r="D2271" s="2">
        <f>F2271*2+4</f>
        <v>8</v>
      </c>
      <c r="E2271" s="2" t="s">
        <v>1</v>
      </c>
      <c r="F2271" s="24">
        <v>2</v>
      </c>
      <c r="G2271" s="24">
        <f>I2269</f>
        <v>2300</v>
      </c>
      <c r="H2271" s="6">
        <f>F2269-100</f>
        <v>2900</v>
      </c>
      <c r="I2271" s="6">
        <f>G2271</f>
        <v>2300</v>
      </c>
      <c r="J2271" s="24">
        <f>H2271+200</f>
        <v>3100</v>
      </c>
      <c r="K2271" s="24"/>
      <c r="L2271" s="24"/>
      <c r="M2271" s="24"/>
      <c r="N2271" s="24"/>
    </row>
    <row r="2272" spans="1:14">
      <c r="D2272" s="2">
        <f>F2272*2+4</f>
        <v>8</v>
      </c>
      <c r="E2272" s="2" t="s">
        <v>1</v>
      </c>
      <c r="F2272" s="24">
        <v>2</v>
      </c>
      <c r="G2272" s="24">
        <f>I2270</f>
        <v>3400</v>
      </c>
      <c r="H2272" s="6">
        <f>F2270-100</f>
        <v>2900</v>
      </c>
      <c r="I2272" s="6">
        <f>G2272</f>
        <v>3400</v>
      </c>
      <c r="J2272" s="24">
        <f>H2272+200</f>
        <v>3100</v>
      </c>
      <c r="K2272" s="24"/>
      <c r="L2272" s="24"/>
    </row>
    <row r="2273" spans="1:14">
      <c r="D2273" s="2">
        <f>ROUNDUP(6+F2273/2,0)</f>
        <v>8</v>
      </c>
      <c r="E2273" s="2" t="s">
        <v>6</v>
      </c>
      <c r="F2273" s="24">
        <f>LEN(G2273)</f>
        <v>3</v>
      </c>
      <c r="G2273" s="24">
        <f>B2269/1000</f>
        <v>1.1000000000000001</v>
      </c>
      <c r="H2273" s="24">
        <f>J2271</f>
        <v>3100</v>
      </c>
      <c r="I2273" s="24">
        <f>G2271-300</f>
        <v>2000</v>
      </c>
      <c r="K2273" s="24"/>
      <c r="L2273" s="24"/>
    </row>
    <row r="2274" spans="1:14">
      <c r="A2274" s="2"/>
      <c r="B2274" s="2"/>
      <c r="C2274" s="2"/>
      <c r="D2274" s="2">
        <f>ROUNDUP(6+F2274/2,0)</f>
        <v>8</v>
      </c>
      <c r="E2274" s="2" t="s">
        <v>6</v>
      </c>
      <c r="F2274" s="24">
        <f>LEN(G2274)</f>
        <v>3</v>
      </c>
      <c r="G2274" s="24">
        <f>G2273+B2270/1000</f>
        <v>2.2000000000000002</v>
      </c>
      <c r="H2274" s="24">
        <f>H2273</f>
        <v>3100</v>
      </c>
      <c r="I2274" s="24">
        <f>G2272-300</f>
        <v>3100</v>
      </c>
      <c r="J2274" s="24"/>
      <c r="K2274" s="24"/>
      <c r="L2274" s="24"/>
      <c r="M2274" s="24"/>
      <c r="N2274" s="24"/>
    </row>
    <row r="2275" spans="1:14">
      <c r="A2275" s="2" t="s">
        <v>268</v>
      </c>
      <c r="B2275" s="2"/>
      <c r="C2275" s="2">
        <f>C2258-2300</f>
        <v>700</v>
      </c>
      <c r="D2275" s="2">
        <v>18</v>
      </c>
      <c r="E2275" s="2" t="s">
        <v>111</v>
      </c>
      <c r="F2275" s="24">
        <v>200</v>
      </c>
      <c r="G2275" s="24">
        <f>B2258</f>
        <v>1200</v>
      </c>
      <c r="H2275" s="24">
        <f>C2275</f>
        <v>700</v>
      </c>
      <c r="I2275" s="24">
        <f>B2258+B2269+B2270</f>
        <v>3400</v>
      </c>
      <c r="J2275" s="24">
        <f>H2275</f>
        <v>700</v>
      </c>
      <c r="K2275" s="24"/>
      <c r="L2275" s="24"/>
      <c r="M2275" s="24"/>
      <c r="N2275" s="24"/>
    </row>
    <row r="2276" spans="1:14">
      <c r="A2276" s="2"/>
      <c r="B2276" s="2"/>
      <c r="C2276" s="2"/>
      <c r="D2276" s="2">
        <f>F2276*2+4</f>
        <v>10</v>
      </c>
      <c r="E2276" s="2" t="s">
        <v>4</v>
      </c>
      <c r="F2276" s="24">
        <v>3</v>
      </c>
      <c r="G2276" s="24">
        <f>G2275</f>
        <v>1200</v>
      </c>
      <c r="H2276" s="24">
        <f>C2275</f>
        <v>700</v>
      </c>
      <c r="I2276" s="24">
        <f>G2276+200</f>
        <v>1400</v>
      </c>
      <c r="J2276" s="24">
        <f>H2276+100</f>
        <v>800</v>
      </c>
      <c r="K2276" s="24">
        <f>I2276</f>
        <v>1400</v>
      </c>
      <c r="L2276" s="24">
        <f>J2276-200</f>
        <v>600</v>
      </c>
      <c r="M2276" s="24"/>
      <c r="N2276" s="24"/>
    </row>
    <row r="2277" spans="1:14">
      <c r="A2277" s="2"/>
      <c r="B2277" s="2"/>
      <c r="C2277" s="2"/>
      <c r="D2277" s="2">
        <f>F2277*2+4</f>
        <v>12</v>
      </c>
      <c r="E2277" s="2" t="s">
        <v>4</v>
      </c>
      <c r="F2277" s="24">
        <v>4</v>
      </c>
      <c r="G2277" s="24">
        <f>B2258+B2269-200</f>
        <v>2100</v>
      </c>
      <c r="H2277" s="24">
        <f>C2275+100</f>
        <v>800</v>
      </c>
      <c r="I2277" s="24">
        <f>G2277</f>
        <v>2100</v>
      </c>
      <c r="J2277" s="24">
        <f>H2277-200</f>
        <v>600</v>
      </c>
      <c r="K2277" s="24">
        <f>I2277+400</f>
        <v>2500</v>
      </c>
      <c r="L2277" s="24">
        <f>H2277</f>
        <v>800</v>
      </c>
      <c r="M2277" s="24">
        <f>K2277</f>
        <v>2500</v>
      </c>
      <c r="N2277" s="24">
        <f>J2277</f>
        <v>600</v>
      </c>
    </row>
    <row r="2278" spans="1:14">
      <c r="A2278" s="2"/>
      <c r="B2278" s="2"/>
      <c r="C2278" s="2"/>
      <c r="D2278" s="2">
        <f>F2278*2+4</f>
        <v>8</v>
      </c>
      <c r="E2278" s="2" t="s">
        <v>1</v>
      </c>
      <c r="F2278" s="24">
        <v>2</v>
      </c>
      <c r="G2278" s="24">
        <f>G2271</f>
        <v>2300</v>
      </c>
      <c r="H2278" s="24">
        <f>C2275-200</f>
        <v>500</v>
      </c>
      <c r="I2278" s="24">
        <f>I2271</f>
        <v>2300</v>
      </c>
      <c r="J2278" s="24">
        <f>H2278+400</f>
        <v>900</v>
      </c>
      <c r="K2278" s="24"/>
      <c r="L2278" s="24"/>
      <c r="M2278" s="24"/>
      <c r="N2278" s="24"/>
    </row>
    <row r="2279" spans="1:14">
      <c r="A2279" s="2"/>
      <c r="B2279" s="2"/>
      <c r="C2279" s="2"/>
      <c r="D2279" s="2">
        <f>F2279*2+4</f>
        <v>8</v>
      </c>
      <c r="E2279" s="2" t="s">
        <v>1</v>
      </c>
      <c r="F2279" s="24">
        <v>2</v>
      </c>
      <c r="G2279" s="24">
        <f>G2278+B2270</f>
        <v>3400</v>
      </c>
      <c r="H2279" s="24">
        <f>H2278</f>
        <v>500</v>
      </c>
      <c r="I2279" s="24">
        <f>G2279</f>
        <v>3400</v>
      </c>
      <c r="J2279" s="24">
        <f>J2278</f>
        <v>900</v>
      </c>
      <c r="K2279" s="24"/>
      <c r="L2279" s="24"/>
      <c r="M2279" s="24"/>
      <c r="N2279" s="24"/>
    </row>
    <row r="2280" spans="1:14">
      <c r="A2280" s="2"/>
      <c r="B2280" s="2"/>
      <c r="C2280" s="2"/>
      <c r="D2280" s="2">
        <f>ROUNDUP(6+F2280/2,0)</f>
        <v>7</v>
      </c>
      <c r="E2280" s="2" t="s">
        <v>6</v>
      </c>
      <c r="F2280" s="24">
        <f>LEN(G2280)</f>
        <v>2</v>
      </c>
      <c r="G2280" s="24" t="s">
        <v>267</v>
      </c>
      <c r="H2280" s="24">
        <f>C2275-300</f>
        <v>400</v>
      </c>
      <c r="I2280" s="24">
        <f>B2258+400</f>
        <v>1600</v>
      </c>
      <c r="J2280" s="24"/>
      <c r="K2280" s="24"/>
      <c r="L2280" s="24"/>
      <c r="M2280" s="24"/>
      <c r="N2280" s="24"/>
    </row>
    <row r="2281" spans="1:14">
      <c r="A2281" s="2"/>
      <c r="B2281" s="2"/>
      <c r="C2281" s="2"/>
      <c r="D2281" s="2">
        <f>ROUNDUP(6+F2281/2,0)</f>
        <v>7</v>
      </c>
      <c r="E2281" s="2" t="s">
        <v>6</v>
      </c>
      <c r="F2281" s="24">
        <f>LEN(G2281)</f>
        <v>2</v>
      </c>
      <c r="G2281" s="24" t="s">
        <v>267</v>
      </c>
      <c r="H2281" s="24">
        <f>C2275-300</f>
        <v>400</v>
      </c>
      <c r="I2281" s="24">
        <f>I2280+B2269</f>
        <v>2700</v>
      </c>
      <c r="J2281" s="24"/>
      <c r="K2281" s="24"/>
      <c r="L2281" s="24"/>
      <c r="M2281" s="24"/>
      <c r="N2281" s="24"/>
    </row>
    <row r="2282" spans="1:14">
      <c r="A2282" s="2" t="s">
        <v>54</v>
      </c>
      <c r="B2282" s="2">
        <v>100</v>
      </c>
      <c r="C2282" s="2"/>
      <c r="D2282" s="2">
        <v>7</v>
      </c>
      <c r="E2282" s="2" t="s">
        <v>5</v>
      </c>
      <c r="F2282" s="24">
        <f t="shared" ref="F2282:H2283" si="140">F2269</f>
        <v>3000</v>
      </c>
      <c r="G2282" s="24">
        <f t="shared" si="140"/>
        <v>1200</v>
      </c>
      <c r="H2282" s="24">
        <f t="shared" si="140"/>
        <v>2000</v>
      </c>
      <c r="I2282" s="24">
        <f>G2282+B2282</f>
        <v>1300</v>
      </c>
      <c r="J2282" s="24"/>
      <c r="K2282" s="24"/>
      <c r="L2282" s="24"/>
      <c r="M2282" s="24"/>
      <c r="N2282" s="24"/>
    </row>
    <row r="2283" spans="1:14">
      <c r="A2283" s="2"/>
      <c r="B2283" s="2">
        <v>100</v>
      </c>
      <c r="C2283" s="2"/>
      <c r="D2283" s="2">
        <v>7</v>
      </c>
      <c r="E2283" s="2" t="s">
        <v>5</v>
      </c>
      <c r="F2283" s="24">
        <f t="shared" si="140"/>
        <v>3000</v>
      </c>
      <c r="G2283" s="24">
        <f t="shared" si="140"/>
        <v>2300</v>
      </c>
      <c r="H2283" s="24">
        <f t="shared" si="140"/>
        <v>1000</v>
      </c>
      <c r="I2283" s="24">
        <f>G2283+B2283</f>
        <v>2400</v>
      </c>
      <c r="J2283" s="24"/>
      <c r="K2283" s="24"/>
      <c r="L2283" s="24"/>
      <c r="M2283" s="24"/>
      <c r="N2283" s="24"/>
    </row>
    <row r="2284" spans="1:14">
      <c r="A2284" s="2"/>
      <c r="B2284" s="2"/>
      <c r="C2284" s="2"/>
      <c r="D2284" s="2">
        <f>F2284*2+4</f>
        <v>8</v>
      </c>
      <c r="E2284" s="2" t="s">
        <v>1</v>
      </c>
      <c r="F2284" s="24">
        <v>2</v>
      </c>
      <c r="G2284" s="24">
        <f>I2282</f>
        <v>1300</v>
      </c>
      <c r="H2284" s="6">
        <f>F2282-100</f>
        <v>2900</v>
      </c>
      <c r="I2284" s="6">
        <f>G2284</f>
        <v>1300</v>
      </c>
      <c r="J2284" s="24">
        <f>H2284+200</f>
        <v>3100</v>
      </c>
      <c r="K2284" s="24"/>
      <c r="L2284" s="24"/>
      <c r="M2284" s="24"/>
      <c r="N2284" s="24"/>
    </row>
    <row r="2285" spans="1:14">
      <c r="A2285" s="2"/>
      <c r="B2285" s="2"/>
      <c r="C2285" s="2"/>
      <c r="D2285" s="2">
        <f>F2285*2+4</f>
        <v>8</v>
      </c>
      <c r="E2285" s="2" t="s">
        <v>1</v>
      </c>
      <c r="F2285" s="24">
        <v>2</v>
      </c>
      <c r="G2285" s="24">
        <f>I2283</f>
        <v>2400</v>
      </c>
      <c r="H2285" s="6">
        <f>F2283-100</f>
        <v>2900</v>
      </c>
      <c r="I2285" s="6">
        <f>G2285</f>
        <v>2400</v>
      </c>
      <c r="J2285" s="24">
        <f>H2285+200</f>
        <v>3100</v>
      </c>
      <c r="K2285" s="24"/>
      <c r="L2285" s="24"/>
      <c r="M2285" s="24"/>
      <c r="N2285" s="24"/>
    </row>
    <row r="2286" spans="1:14">
      <c r="A2286" s="2"/>
      <c r="B2286" s="2"/>
      <c r="C2286" s="2"/>
      <c r="D2286" s="2">
        <f>ROUNDUP(6+F2286/2,0)</f>
        <v>8</v>
      </c>
      <c r="E2286" s="2" t="s">
        <v>6</v>
      </c>
      <c r="F2286" s="24">
        <f>LEN(G2286)</f>
        <v>3</v>
      </c>
      <c r="G2286" s="24">
        <f>B2282/1000</f>
        <v>0.1</v>
      </c>
      <c r="H2286" s="24">
        <f>J2284</f>
        <v>3100</v>
      </c>
      <c r="I2286" s="24">
        <f>G2284-50</f>
        <v>1250</v>
      </c>
      <c r="K2286" s="24"/>
      <c r="L2286" s="24"/>
      <c r="M2286" s="24"/>
      <c r="N2286" s="24"/>
    </row>
    <row r="2287" spans="1:14">
      <c r="A2287" s="2"/>
      <c r="B2287" s="2"/>
      <c r="C2287" s="2"/>
      <c r="D2287" s="2">
        <f>ROUNDUP(6+F2287/2,0)</f>
        <v>8</v>
      </c>
      <c r="E2287" s="2" t="s">
        <v>6</v>
      </c>
      <c r="F2287" s="24">
        <f>LEN(G2287)</f>
        <v>3</v>
      </c>
      <c r="G2287" s="24">
        <f>G2286+B2270/1000</f>
        <v>1.2000000000000002</v>
      </c>
      <c r="H2287" s="24">
        <f>H2286</f>
        <v>3100</v>
      </c>
      <c r="I2287" s="24">
        <f>G2285-50</f>
        <v>2350</v>
      </c>
      <c r="J2287" s="24"/>
      <c r="K2287" s="24"/>
      <c r="L2287" s="24"/>
      <c r="M2287" s="24"/>
      <c r="N2287" s="24"/>
    </row>
    <row r="2288" spans="1:14">
      <c r="A2288" s="2"/>
      <c r="B2288" s="2"/>
      <c r="C2288" s="2"/>
      <c r="D2288" s="2">
        <f>ROUNDUP(6+F2288/2,0)</f>
        <v>8</v>
      </c>
      <c r="E2288" s="2" t="s">
        <v>6</v>
      </c>
      <c r="F2288" s="24">
        <f>LEN(G2288)</f>
        <v>3</v>
      </c>
      <c r="G2288" s="24" t="s">
        <v>211</v>
      </c>
      <c r="H2288" s="24">
        <f>C2258-2000</f>
        <v>1000</v>
      </c>
      <c r="I2288" s="24">
        <f>B2258+100</f>
        <v>1300</v>
      </c>
      <c r="J2288" s="24"/>
      <c r="K2288" s="24"/>
      <c r="L2288" s="24"/>
      <c r="M2288" s="24"/>
      <c r="N2288" s="24"/>
    </row>
    <row r="2289" spans="1:14">
      <c r="A2289" s="2"/>
      <c r="B2289" s="2"/>
      <c r="C2289" s="2"/>
      <c r="D2289" s="2">
        <f>ROUNDUP(6+F2289/2,0)</f>
        <v>9</v>
      </c>
      <c r="E2289" s="2" t="s">
        <v>6</v>
      </c>
      <c r="F2289" s="24">
        <f>LEN(G2289)</f>
        <v>6</v>
      </c>
      <c r="G2289" s="24" t="s">
        <v>277</v>
      </c>
      <c r="H2289" s="24">
        <f>H2288+300</f>
        <v>1300</v>
      </c>
      <c r="I2289" s="24">
        <f>I2288</f>
        <v>1300</v>
      </c>
      <c r="J2289" s="24"/>
      <c r="K2289" s="24"/>
      <c r="L2289" s="24"/>
      <c r="M2289" s="24"/>
      <c r="N2289" s="24"/>
    </row>
    <row r="2290" spans="1:14">
      <c r="A2290" t="s">
        <v>266</v>
      </c>
      <c r="B2290" t="s">
        <v>2</v>
      </c>
      <c r="C2290" t="s">
        <v>3</v>
      </c>
      <c r="D2290" s="2">
        <v>18</v>
      </c>
      <c r="E2290" s="2" t="s">
        <v>111</v>
      </c>
      <c r="F2290" s="24">
        <v>200</v>
      </c>
      <c r="G2290" s="24">
        <f>B2291-200</f>
        <v>1000</v>
      </c>
      <c r="H2290" s="24">
        <f>C2291</f>
        <v>6500</v>
      </c>
      <c r="I2290" s="24">
        <f>G2290+600+B2302+B2303</f>
        <v>4600</v>
      </c>
      <c r="J2290" s="24">
        <f>C2291</f>
        <v>6500</v>
      </c>
      <c r="K2290" s="24"/>
      <c r="L2290" s="24"/>
    </row>
    <row r="2291" spans="1:14">
      <c r="B2291">
        <v>1200</v>
      </c>
      <c r="C2291">
        <v>6500</v>
      </c>
      <c r="D2291" s="2">
        <v>18</v>
      </c>
      <c r="E2291" s="2" t="s">
        <v>111</v>
      </c>
      <c r="F2291" s="24">
        <v>200</v>
      </c>
      <c r="G2291" s="24">
        <f>B2291</f>
        <v>1200</v>
      </c>
      <c r="H2291" s="24">
        <f>C2291+200</f>
        <v>6700</v>
      </c>
      <c r="I2291" s="24">
        <f>G2291</f>
        <v>1200</v>
      </c>
      <c r="J2291" s="24">
        <f>H2291-3000</f>
        <v>3700</v>
      </c>
      <c r="K2291" s="24"/>
      <c r="L2291" s="24"/>
    </row>
    <row r="2292" spans="1:14">
      <c r="D2292" s="2">
        <f>ROUNDUP(6+F2292/2,0)</f>
        <v>7</v>
      </c>
      <c r="E2292" s="2" t="s">
        <v>6</v>
      </c>
      <c r="F2292" s="24">
        <f>LEN(G2292)</f>
        <v>1</v>
      </c>
      <c r="G2292" s="24" t="s">
        <v>42</v>
      </c>
      <c r="H2292" s="24">
        <f>J2291-150</f>
        <v>3550</v>
      </c>
      <c r="I2292" s="24">
        <f>G2291+200</f>
        <v>1400</v>
      </c>
      <c r="J2292" s="24"/>
      <c r="K2292" s="24"/>
      <c r="L2292" s="24"/>
      <c r="M2292" s="24"/>
      <c r="N2292" s="24"/>
    </row>
    <row r="2293" spans="1:14">
      <c r="D2293" s="2">
        <f>ROUNDUP(6+F2293/2,0)</f>
        <v>7</v>
      </c>
      <c r="E2293" s="2" t="s">
        <v>6</v>
      </c>
      <c r="F2293" s="24">
        <f>LEN(G2293)</f>
        <v>1</v>
      </c>
      <c r="G2293" s="24" t="s">
        <v>22</v>
      </c>
      <c r="H2293" s="24">
        <f>H2290-150</f>
        <v>6350</v>
      </c>
      <c r="I2293" s="24">
        <f>I2290+100</f>
        <v>4700</v>
      </c>
      <c r="J2293" s="24"/>
      <c r="K2293" s="24"/>
      <c r="L2293" s="24"/>
    </row>
    <row r="2294" spans="1:14">
      <c r="A2294" s="2"/>
      <c r="B2294" s="2"/>
      <c r="C2294" s="2"/>
      <c r="D2294" s="2">
        <f>F2294*2+4</f>
        <v>8</v>
      </c>
      <c r="E2294" s="2" t="s">
        <v>1</v>
      </c>
      <c r="F2294" s="24">
        <v>2</v>
      </c>
      <c r="G2294" s="24">
        <f>B2291-100</f>
        <v>1100</v>
      </c>
      <c r="H2294" s="24">
        <f>C2291-1000</f>
        <v>5500</v>
      </c>
      <c r="I2294" s="24">
        <f>B2291+100</f>
        <v>1300</v>
      </c>
      <c r="J2294" s="24">
        <f>H2294</f>
        <v>5500</v>
      </c>
      <c r="K2294" s="24"/>
      <c r="L2294" s="24"/>
      <c r="M2294" s="24"/>
      <c r="N2294" s="24"/>
    </row>
    <row r="2295" spans="1:14">
      <c r="A2295" s="2"/>
      <c r="B2295" s="2"/>
      <c r="C2295" s="2"/>
      <c r="D2295" s="2">
        <f>F2295*2+4</f>
        <v>8</v>
      </c>
      <c r="E2295" s="2" t="s">
        <v>1</v>
      </c>
      <c r="F2295" s="24">
        <v>2</v>
      </c>
      <c r="G2295" s="24">
        <f>G2294</f>
        <v>1100</v>
      </c>
      <c r="H2295" s="24">
        <f>C2291-2000</f>
        <v>4500</v>
      </c>
      <c r="I2295" s="24">
        <f>I2294</f>
        <v>1300</v>
      </c>
      <c r="J2295" s="24">
        <f>H2295</f>
        <v>4500</v>
      </c>
      <c r="K2295" s="24"/>
      <c r="L2295" s="24"/>
      <c r="M2295" s="24"/>
      <c r="N2295" s="24"/>
    </row>
    <row r="2296" spans="1:14">
      <c r="A2296" s="2"/>
      <c r="B2296" s="2"/>
      <c r="C2296" s="2"/>
      <c r="D2296" s="2">
        <f>ROUNDUP(6+F2296/2,0)</f>
        <v>7</v>
      </c>
      <c r="E2296" s="2" t="s">
        <v>6</v>
      </c>
      <c r="F2296" s="24">
        <f>LEN(G2296)</f>
        <v>1</v>
      </c>
      <c r="G2296" s="24">
        <v>1</v>
      </c>
      <c r="H2296" s="24">
        <f>H2294-150</f>
        <v>5350</v>
      </c>
      <c r="I2296" s="24">
        <f>G2294-200</f>
        <v>900</v>
      </c>
      <c r="K2296" s="24"/>
      <c r="L2296" s="24"/>
      <c r="M2296" s="24"/>
      <c r="N2296" s="24"/>
    </row>
    <row r="2297" spans="1:14">
      <c r="A2297" s="2"/>
      <c r="B2297" s="2"/>
      <c r="C2297" s="2"/>
      <c r="D2297" s="2">
        <f>ROUNDUP(6+F2297/2,0)</f>
        <v>7</v>
      </c>
      <c r="E2297" s="2" t="s">
        <v>6</v>
      </c>
      <c r="F2297" s="24">
        <f>LEN(G2297)</f>
        <v>1</v>
      </c>
      <c r="G2297" s="24">
        <v>2</v>
      </c>
      <c r="H2297" s="24">
        <f>H2295-150</f>
        <v>4350</v>
      </c>
      <c r="I2297" s="24">
        <f>I2296</f>
        <v>900</v>
      </c>
      <c r="J2297" s="24"/>
      <c r="K2297" s="24"/>
      <c r="L2297" s="24"/>
      <c r="M2297" s="24"/>
      <c r="N2297" s="24"/>
    </row>
    <row r="2298" spans="1:14">
      <c r="A2298" s="2"/>
      <c r="B2298" s="2"/>
      <c r="C2298" s="2"/>
      <c r="D2298" s="2">
        <f>ROUNDUP(6+F2298/2,0)</f>
        <v>9</v>
      </c>
      <c r="E2298" s="2" t="s">
        <v>6</v>
      </c>
      <c r="F2298" s="24">
        <f>LEN(G2298)</f>
        <v>5</v>
      </c>
      <c r="G2298" s="24" t="s">
        <v>271</v>
      </c>
      <c r="H2298" s="24">
        <f>H2297+300</f>
        <v>4650</v>
      </c>
      <c r="I2298" s="24">
        <f>I2297-800</f>
        <v>100</v>
      </c>
      <c r="J2298" s="24"/>
      <c r="K2298" s="24"/>
      <c r="L2298" s="24"/>
      <c r="M2298" s="24"/>
      <c r="N2298" s="24"/>
    </row>
    <row r="2299" spans="1:14">
      <c r="A2299" s="2"/>
      <c r="B2299" s="2"/>
      <c r="C2299" s="2"/>
      <c r="D2299" s="2">
        <f>ROUNDUP(6+F2299/2,0)</f>
        <v>8</v>
      </c>
      <c r="E2299" s="2" t="s">
        <v>6</v>
      </c>
      <c r="F2299" s="24">
        <f>LEN(G2299)</f>
        <v>4</v>
      </c>
      <c r="G2299" s="40" t="s">
        <v>269</v>
      </c>
      <c r="H2299" s="24">
        <f>H2298+300</f>
        <v>4950</v>
      </c>
      <c r="I2299" s="24">
        <f>I2298</f>
        <v>100</v>
      </c>
      <c r="J2299" s="24"/>
      <c r="K2299" s="40"/>
      <c r="L2299" s="24"/>
      <c r="M2299" s="24"/>
      <c r="N2299" s="24"/>
    </row>
    <row r="2300" spans="1:14">
      <c r="A2300" s="2"/>
      <c r="B2300" s="2"/>
      <c r="C2300" s="2"/>
      <c r="D2300" s="2">
        <v>7</v>
      </c>
      <c r="E2300" s="2" t="s">
        <v>0</v>
      </c>
      <c r="F2300" s="24">
        <f>H2300+400</f>
        <v>4600</v>
      </c>
      <c r="G2300" s="24">
        <f>I2300+400</f>
        <v>500</v>
      </c>
      <c r="H2300" s="24">
        <f>H2301-50</f>
        <v>4200</v>
      </c>
      <c r="I2300" s="24">
        <f>I2299</f>
        <v>100</v>
      </c>
      <c r="J2300" s="24"/>
      <c r="K2300" s="24"/>
      <c r="L2300" s="24"/>
      <c r="M2300" s="24"/>
      <c r="N2300" s="24"/>
    </row>
    <row r="2301" spans="1:14">
      <c r="A2301" s="2"/>
      <c r="B2301" s="2"/>
      <c r="C2301" s="2"/>
      <c r="D2301" s="2">
        <f>ROUNDUP(6+F2301/2,0)</f>
        <v>7</v>
      </c>
      <c r="E2301" s="2" t="s">
        <v>6</v>
      </c>
      <c r="F2301" s="24">
        <f>LEN(G2301)</f>
        <v>1</v>
      </c>
      <c r="G2301" s="40">
        <v>2</v>
      </c>
      <c r="H2301" s="24">
        <f>H2298-400</f>
        <v>4250</v>
      </c>
      <c r="I2301" s="24">
        <f>I2299+128</f>
        <v>228</v>
      </c>
      <c r="J2301" s="24"/>
      <c r="K2301" s="24"/>
      <c r="L2301" s="24"/>
      <c r="M2301" s="24"/>
      <c r="N2301" s="24"/>
    </row>
    <row r="2302" spans="1:14">
      <c r="A2302" s="2"/>
      <c r="B2302" s="2">
        <v>1900</v>
      </c>
      <c r="C2302" s="2"/>
      <c r="D2302" s="2">
        <v>7</v>
      </c>
      <c r="E2302" s="2" t="s">
        <v>5</v>
      </c>
      <c r="F2302" s="24">
        <f>C2291</f>
        <v>6500</v>
      </c>
      <c r="G2302" s="24">
        <f>B2291</f>
        <v>1200</v>
      </c>
      <c r="H2302" s="24">
        <f>F2302-1000</f>
        <v>5500</v>
      </c>
      <c r="I2302" s="24">
        <f>B2291+B2302</f>
        <v>3100</v>
      </c>
      <c r="J2302" s="24"/>
      <c r="K2302" s="24"/>
      <c r="L2302" s="24"/>
      <c r="M2302" s="24"/>
      <c r="N2302" s="24"/>
    </row>
    <row r="2303" spans="1:14">
      <c r="A2303" s="2"/>
      <c r="B2303" s="2">
        <v>1100</v>
      </c>
      <c r="C2303" s="2"/>
      <c r="D2303" s="2">
        <v>7</v>
      </c>
      <c r="E2303" s="2" t="s">
        <v>5</v>
      </c>
      <c r="F2303" s="24">
        <f>F2302</f>
        <v>6500</v>
      </c>
      <c r="G2303" s="24">
        <f>I2302</f>
        <v>3100</v>
      </c>
      <c r="H2303" s="24">
        <f>F2303-2000</f>
        <v>4500</v>
      </c>
      <c r="I2303" s="24">
        <f>G2303+B2303</f>
        <v>4200</v>
      </c>
      <c r="J2303" s="24"/>
      <c r="K2303" s="24"/>
      <c r="L2303" s="24"/>
      <c r="M2303" s="24"/>
      <c r="N2303" s="24"/>
    </row>
    <row r="2304" spans="1:14">
      <c r="A2304" s="2"/>
      <c r="B2304" s="2"/>
      <c r="C2304" s="2"/>
      <c r="D2304" s="2">
        <f>F2304*2+4</f>
        <v>8</v>
      </c>
      <c r="E2304" s="2" t="s">
        <v>1</v>
      </c>
      <c r="F2304" s="24">
        <v>2</v>
      </c>
      <c r="G2304" s="24">
        <f>I2302</f>
        <v>3100</v>
      </c>
      <c r="H2304" s="6">
        <f>F2302-100</f>
        <v>6400</v>
      </c>
      <c r="I2304" s="6">
        <f>G2304</f>
        <v>3100</v>
      </c>
      <c r="J2304" s="24">
        <f>H2304+200</f>
        <v>6600</v>
      </c>
      <c r="K2304" s="24"/>
      <c r="L2304" s="24"/>
      <c r="M2304" s="24"/>
      <c r="N2304" s="24"/>
    </row>
    <row r="2305" spans="1:14">
      <c r="D2305" s="2">
        <f>F2305*2+4</f>
        <v>8</v>
      </c>
      <c r="E2305" s="2" t="s">
        <v>1</v>
      </c>
      <c r="F2305" s="24">
        <v>2</v>
      </c>
      <c r="G2305" s="24">
        <f>I2303</f>
        <v>4200</v>
      </c>
      <c r="H2305" s="6">
        <f>F2303-100</f>
        <v>6400</v>
      </c>
      <c r="I2305" s="6">
        <f>G2305</f>
        <v>4200</v>
      </c>
      <c r="J2305" s="24">
        <f>H2305+200</f>
        <v>6600</v>
      </c>
      <c r="K2305" s="24"/>
      <c r="L2305" s="24"/>
    </row>
    <row r="2306" spans="1:14">
      <c r="D2306" s="2">
        <f>ROUNDUP(6+F2306/2,0)</f>
        <v>8</v>
      </c>
      <c r="E2306" s="2" t="s">
        <v>6</v>
      </c>
      <c r="F2306" s="24">
        <f>LEN(G2306)</f>
        <v>3</v>
      </c>
      <c r="G2306" s="24">
        <f>B2302/1000</f>
        <v>1.9</v>
      </c>
      <c r="H2306" s="24">
        <f>J2304</f>
        <v>6600</v>
      </c>
      <c r="I2306" s="24">
        <f>G2304-300</f>
        <v>2800</v>
      </c>
      <c r="K2306" s="24"/>
      <c r="L2306" s="24"/>
    </row>
    <row r="2307" spans="1:14">
      <c r="A2307" s="2"/>
      <c r="B2307" s="2"/>
      <c r="C2307" s="2"/>
      <c r="D2307" s="2">
        <f>ROUNDUP(6+F2307/2,0)</f>
        <v>7</v>
      </c>
      <c r="E2307" s="2" t="s">
        <v>6</v>
      </c>
      <c r="F2307" s="24">
        <f>LEN(G2307)</f>
        <v>1</v>
      </c>
      <c r="G2307" s="24">
        <f>G2306+B2303/1000</f>
        <v>3</v>
      </c>
      <c r="H2307" s="24">
        <f>H2306</f>
        <v>6600</v>
      </c>
      <c r="I2307" s="24">
        <f>G2305-100</f>
        <v>4100</v>
      </c>
      <c r="J2307" s="24"/>
      <c r="K2307" s="24"/>
      <c r="L2307" s="24"/>
      <c r="M2307" s="24"/>
      <c r="N2307" s="24"/>
    </row>
    <row r="2308" spans="1:14">
      <c r="A2308" s="2" t="s">
        <v>268</v>
      </c>
      <c r="B2308" s="2"/>
      <c r="C2308" s="2">
        <f>C2291-2300</f>
        <v>4200</v>
      </c>
      <c r="D2308" s="2">
        <v>18</v>
      </c>
      <c r="E2308" s="2" t="s">
        <v>111</v>
      </c>
      <c r="F2308" s="24">
        <v>200</v>
      </c>
      <c r="G2308" s="24">
        <f>B2291</f>
        <v>1200</v>
      </c>
      <c r="H2308" s="24">
        <f>C2308</f>
        <v>4200</v>
      </c>
      <c r="I2308" s="24">
        <f>B2291+B2302+B2303</f>
        <v>4200</v>
      </c>
      <c r="J2308" s="24">
        <f>H2308</f>
        <v>4200</v>
      </c>
      <c r="K2308" s="24"/>
      <c r="L2308" s="24"/>
      <c r="M2308" s="24"/>
      <c r="N2308" s="24"/>
    </row>
    <row r="2309" spans="1:14">
      <c r="A2309" s="2"/>
      <c r="B2309" s="2"/>
      <c r="C2309" s="2"/>
      <c r="D2309" s="2">
        <f>F2309*2+4</f>
        <v>10</v>
      </c>
      <c r="E2309" s="2" t="s">
        <v>4</v>
      </c>
      <c r="F2309" s="24">
        <v>3</v>
      </c>
      <c r="G2309" s="24">
        <f>G2308</f>
        <v>1200</v>
      </c>
      <c r="H2309" s="24">
        <f>C2308</f>
        <v>4200</v>
      </c>
      <c r="I2309" s="24">
        <f>G2309+200</f>
        <v>1400</v>
      </c>
      <c r="J2309" s="24">
        <f>H2309+100</f>
        <v>4300</v>
      </c>
      <c r="K2309" s="24">
        <f>I2309</f>
        <v>1400</v>
      </c>
      <c r="L2309" s="24">
        <f>J2309-200</f>
        <v>4100</v>
      </c>
      <c r="M2309" s="24"/>
      <c r="N2309" s="24"/>
    </row>
    <row r="2310" spans="1:14">
      <c r="A2310" s="2"/>
      <c r="B2310" s="2"/>
      <c r="C2310" s="2"/>
      <c r="D2310" s="2">
        <f>F2310*2+4</f>
        <v>12</v>
      </c>
      <c r="E2310" s="2" t="s">
        <v>4</v>
      </c>
      <c r="F2310" s="24">
        <v>4</v>
      </c>
      <c r="G2310" s="24">
        <f>B2291+B2302-200</f>
        <v>2900</v>
      </c>
      <c r="H2310" s="24">
        <f>C2308+100</f>
        <v>4300</v>
      </c>
      <c r="I2310" s="24">
        <f>G2310</f>
        <v>2900</v>
      </c>
      <c r="J2310" s="24">
        <f>H2310-200</f>
        <v>4100</v>
      </c>
      <c r="K2310" s="24">
        <f>I2310+400</f>
        <v>3300</v>
      </c>
      <c r="L2310" s="24">
        <f>H2310</f>
        <v>4300</v>
      </c>
      <c r="M2310" s="24">
        <f>K2310</f>
        <v>3300</v>
      </c>
      <c r="N2310" s="24">
        <f>J2310</f>
        <v>4100</v>
      </c>
    </row>
    <row r="2311" spans="1:14">
      <c r="A2311" s="2"/>
      <c r="B2311" s="2"/>
      <c r="C2311" s="2"/>
      <c r="D2311" s="2">
        <f>F2311*2+4</f>
        <v>8</v>
      </c>
      <c r="E2311" s="2" t="s">
        <v>1</v>
      </c>
      <c r="F2311" s="24">
        <v>2</v>
      </c>
      <c r="G2311" s="24">
        <f>G2304</f>
        <v>3100</v>
      </c>
      <c r="H2311" s="24">
        <f>C2308-200</f>
        <v>4000</v>
      </c>
      <c r="I2311" s="24">
        <f>I2304</f>
        <v>3100</v>
      </c>
      <c r="J2311" s="24">
        <f>H2311+400</f>
        <v>4400</v>
      </c>
      <c r="K2311" s="24"/>
      <c r="L2311" s="24"/>
      <c r="M2311" s="24"/>
      <c r="N2311" s="24"/>
    </row>
    <row r="2312" spans="1:14">
      <c r="A2312" s="2"/>
      <c r="B2312" s="2"/>
      <c r="C2312" s="2"/>
      <c r="D2312" s="2">
        <f>F2312*2+4</f>
        <v>8</v>
      </c>
      <c r="E2312" s="2" t="s">
        <v>1</v>
      </c>
      <c r="F2312" s="24">
        <v>2</v>
      </c>
      <c r="G2312" s="24">
        <f>G2311+B2303</f>
        <v>4200</v>
      </c>
      <c r="H2312" s="24">
        <f>H2311</f>
        <v>4000</v>
      </c>
      <c r="I2312" s="24">
        <f>G2312</f>
        <v>4200</v>
      </c>
      <c r="J2312" s="24">
        <f>J2311</f>
        <v>4400</v>
      </c>
      <c r="K2312" s="24"/>
      <c r="L2312" s="24"/>
      <c r="M2312" s="24"/>
      <c r="N2312" s="24"/>
    </row>
    <row r="2313" spans="1:14">
      <c r="A2313" s="2"/>
      <c r="B2313" s="2"/>
      <c r="C2313" s="2"/>
      <c r="D2313" s="2">
        <f>ROUNDUP(6+F2313/2,0)</f>
        <v>7</v>
      </c>
      <c r="E2313" s="2" t="s">
        <v>6</v>
      </c>
      <c r="F2313" s="24">
        <f>LEN(G2313)</f>
        <v>1</v>
      </c>
      <c r="G2313" s="24">
        <v>1</v>
      </c>
      <c r="H2313" s="24">
        <f>C2308-300</f>
        <v>3900</v>
      </c>
      <c r="I2313" s="24">
        <f>B2291+400</f>
        <v>1600</v>
      </c>
      <c r="J2313" s="24"/>
      <c r="K2313" s="24"/>
      <c r="L2313" s="24"/>
      <c r="M2313" s="24"/>
      <c r="N2313" s="24"/>
    </row>
    <row r="2314" spans="1:14">
      <c r="A2314" s="2"/>
      <c r="B2314" s="2"/>
      <c r="C2314" s="2"/>
      <c r="D2314" s="2">
        <f>ROUNDUP(6+F2314/2,0)</f>
        <v>7</v>
      </c>
      <c r="E2314" s="2" t="s">
        <v>6</v>
      </c>
      <c r="F2314" s="24">
        <f>LEN(G2314)</f>
        <v>2</v>
      </c>
      <c r="G2314" s="24" t="s">
        <v>267</v>
      </c>
      <c r="H2314" s="24">
        <f>C2308-300</f>
        <v>3900</v>
      </c>
      <c r="I2314" s="24">
        <f>I2313+B2302</f>
        <v>3500</v>
      </c>
      <c r="J2314" s="24"/>
      <c r="K2314" s="24"/>
      <c r="L2314" s="24"/>
      <c r="M2314" s="24"/>
      <c r="N2314" s="24"/>
    </row>
    <row r="2315" spans="1:14">
      <c r="A2315" s="2" t="s">
        <v>54</v>
      </c>
      <c r="B2315" s="2">
        <v>900</v>
      </c>
      <c r="C2315" s="2"/>
      <c r="D2315" s="2">
        <v>7</v>
      </c>
      <c r="E2315" s="2" t="s">
        <v>5</v>
      </c>
      <c r="F2315" s="24">
        <f t="shared" ref="F2315:H2316" si="141">F2302</f>
        <v>6500</v>
      </c>
      <c r="G2315" s="24">
        <f t="shared" si="141"/>
        <v>1200</v>
      </c>
      <c r="H2315" s="24">
        <f t="shared" si="141"/>
        <v>5500</v>
      </c>
      <c r="I2315" s="24">
        <f>G2315+B2315</f>
        <v>2100</v>
      </c>
      <c r="J2315" s="24"/>
      <c r="K2315" s="24"/>
      <c r="L2315" s="24"/>
      <c r="M2315" s="24"/>
      <c r="N2315" s="24"/>
    </row>
    <row r="2316" spans="1:14">
      <c r="A2316" s="2"/>
      <c r="B2316" s="2">
        <v>100</v>
      </c>
      <c r="C2316" s="2"/>
      <c r="D2316" s="2">
        <v>7</v>
      </c>
      <c r="E2316" s="2" t="s">
        <v>5</v>
      </c>
      <c r="F2316" s="24">
        <f t="shared" si="141"/>
        <v>6500</v>
      </c>
      <c r="G2316" s="24">
        <f t="shared" si="141"/>
        <v>3100</v>
      </c>
      <c r="H2316" s="24">
        <f t="shared" si="141"/>
        <v>4500</v>
      </c>
      <c r="I2316" s="24">
        <f>G2316+B2316</f>
        <v>3200</v>
      </c>
      <c r="J2316" s="24"/>
      <c r="K2316" s="24"/>
      <c r="L2316" s="24"/>
      <c r="M2316" s="24"/>
      <c r="N2316" s="24"/>
    </row>
    <row r="2317" spans="1:14">
      <c r="A2317" s="2"/>
      <c r="B2317" s="2"/>
      <c r="C2317" s="2"/>
      <c r="D2317" s="2">
        <f>F2317*2+4</f>
        <v>8</v>
      </c>
      <c r="E2317" s="2" t="s">
        <v>1</v>
      </c>
      <c r="F2317" s="24">
        <v>2</v>
      </c>
      <c r="G2317" s="24">
        <f>I2315</f>
        <v>2100</v>
      </c>
      <c r="H2317" s="6">
        <f>F2315-100</f>
        <v>6400</v>
      </c>
      <c r="I2317" s="6">
        <f>G2317</f>
        <v>2100</v>
      </c>
      <c r="J2317" s="24">
        <f>H2317+200</f>
        <v>6600</v>
      </c>
      <c r="K2317" s="24"/>
      <c r="L2317" s="24"/>
      <c r="M2317" s="24"/>
      <c r="N2317" s="24"/>
    </row>
    <row r="2318" spans="1:14">
      <c r="A2318" s="2"/>
      <c r="B2318" s="2"/>
      <c r="C2318" s="2"/>
      <c r="D2318" s="2">
        <f>F2318*2+4</f>
        <v>8</v>
      </c>
      <c r="E2318" s="2" t="s">
        <v>1</v>
      </c>
      <c r="F2318" s="24">
        <v>2</v>
      </c>
      <c r="G2318" s="24">
        <f>I2316</f>
        <v>3200</v>
      </c>
      <c r="H2318" s="6">
        <f>F2316-100</f>
        <v>6400</v>
      </c>
      <c r="I2318" s="6">
        <f>G2318</f>
        <v>3200</v>
      </c>
      <c r="J2318" s="24">
        <f>H2318+200</f>
        <v>6600</v>
      </c>
      <c r="K2318" s="24"/>
      <c r="L2318" s="24"/>
      <c r="M2318" s="24"/>
      <c r="N2318" s="24"/>
    </row>
    <row r="2319" spans="1:14">
      <c r="A2319" s="2"/>
      <c r="B2319" s="2"/>
      <c r="C2319" s="2"/>
      <c r="D2319" s="2">
        <f>ROUNDUP(6+F2319/2,0)</f>
        <v>8</v>
      </c>
      <c r="E2319" s="2" t="s">
        <v>6</v>
      </c>
      <c r="F2319" s="24">
        <f>LEN(G2319)</f>
        <v>3</v>
      </c>
      <c r="G2319" s="24">
        <f>B2315/1000</f>
        <v>0.9</v>
      </c>
      <c r="H2319" s="24">
        <f>J2317</f>
        <v>6600</v>
      </c>
      <c r="I2319" s="24">
        <f>G2317-50</f>
        <v>2050</v>
      </c>
      <c r="K2319" s="24"/>
      <c r="L2319" s="24"/>
      <c r="M2319" s="24"/>
      <c r="N2319" s="24"/>
    </row>
    <row r="2320" spans="1:14">
      <c r="A2320" s="2"/>
      <c r="B2320" s="2"/>
      <c r="C2320" s="2"/>
      <c r="D2320" s="2">
        <f>ROUNDUP(6+F2320/2,0)</f>
        <v>7</v>
      </c>
      <c r="E2320" s="2" t="s">
        <v>6</v>
      </c>
      <c r="F2320" s="24">
        <f>LEN(G2320)</f>
        <v>1</v>
      </c>
      <c r="G2320" s="24">
        <f>G2319+B2303/1000</f>
        <v>2</v>
      </c>
      <c r="H2320" s="24">
        <f>H2319</f>
        <v>6600</v>
      </c>
      <c r="I2320" s="24">
        <f>G2318-50</f>
        <v>3150</v>
      </c>
      <c r="J2320" s="24"/>
      <c r="K2320" s="24"/>
      <c r="L2320" s="24"/>
      <c r="M2320" s="24"/>
      <c r="N2320" s="24"/>
    </row>
    <row r="2321" spans="1:14">
      <c r="A2321" s="2"/>
      <c r="B2321" s="2"/>
      <c r="C2321" s="2"/>
      <c r="D2321" s="2">
        <f>ROUNDUP(6+F2321/2,0)</f>
        <v>8</v>
      </c>
      <c r="E2321" s="2" t="s">
        <v>6</v>
      </c>
      <c r="F2321" s="24">
        <f>LEN(G2321)</f>
        <v>3</v>
      </c>
      <c r="G2321" s="24" t="s">
        <v>211</v>
      </c>
      <c r="H2321" s="24">
        <f>C2291-2000</f>
        <v>4500</v>
      </c>
      <c r="I2321" s="24">
        <f>B2291+100</f>
        <v>1300</v>
      </c>
      <c r="J2321" s="24"/>
      <c r="K2321" s="24"/>
      <c r="L2321" s="24"/>
      <c r="M2321" s="24"/>
      <c r="N2321" s="24"/>
    </row>
    <row r="2322" spans="1:14">
      <c r="A2322" s="2"/>
      <c r="B2322" s="2"/>
      <c r="C2322" s="2"/>
      <c r="D2322" s="2">
        <f>ROUNDUP(6+F2322/2,0)</f>
        <v>9</v>
      </c>
      <c r="E2322" s="2" t="s">
        <v>6</v>
      </c>
      <c r="F2322" s="24">
        <f>LEN(G2322)</f>
        <v>6</v>
      </c>
      <c r="G2322" s="24" t="s">
        <v>278</v>
      </c>
      <c r="H2322" s="24">
        <f>H2321+300</f>
        <v>4800</v>
      </c>
      <c r="I2322" s="24">
        <f>I2321</f>
        <v>1300</v>
      </c>
      <c r="J2322" s="24"/>
      <c r="K2322" s="24"/>
      <c r="L2322" s="24"/>
      <c r="M2322" s="24"/>
      <c r="N2322" s="24"/>
    </row>
    <row r="2323" spans="1:14">
      <c r="A2323" s="2" t="s">
        <v>272</v>
      </c>
      <c r="B2323" s="7">
        <v>1000</v>
      </c>
      <c r="C2323" s="2"/>
      <c r="D2323" s="2">
        <f>F2323*2+4</f>
        <v>12</v>
      </c>
      <c r="E2323" s="2" t="s">
        <v>4</v>
      </c>
      <c r="F2323" s="24">
        <v>4</v>
      </c>
      <c r="G2323" s="24">
        <f>B2323-200+B2291</f>
        <v>2000</v>
      </c>
      <c r="H2323" s="24">
        <f>C2308+100</f>
        <v>4300</v>
      </c>
      <c r="I2323" s="24">
        <f>G2323</f>
        <v>2000</v>
      </c>
      <c r="J2323" s="24">
        <f>H2323-200</f>
        <v>4100</v>
      </c>
      <c r="K2323" s="24">
        <f>I2323+400</f>
        <v>2400</v>
      </c>
      <c r="L2323" s="24">
        <f>H2323</f>
        <v>4300</v>
      </c>
      <c r="M2323" s="24">
        <f>K2323</f>
        <v>2400</v>
      </c>
      <c r="N2323" s="24">
        <f>J2323</f>
        <v>4100</v>
      </c>
    </row>
    <row r="2324" spans="1:14">
      <c r="A2324" s="2"/>
      <c r="B2324" s="2"/>
      <c r="C2324" s="2"/>
      <c r="D2324" s="2">
        <f>F2324*2+4</f>
        <v>8</v>
      </c>
      <c r="E2324" s="2" t="s">
        <v>1</v>
      </c>
      <c r="F2324" s="24">
        <v>2</v>
      </c>
      <c r="G2324" s="24">
        <f>G2323+200</f>
        <v>2200</v>
      </c>
      <c r="H2324" s="24">
        <f>H2323+100</f>
        <v>4400</v>
      </c>
      <c r="I2324" s="24">
        <f>G2324</f>
        <v>2200</v>
      </c>
      <c r="J2324" s="24">
        <f>J2323-100</f>
        <v>4000</v>
      </c>
      <c r="K2324" s="24"/>
      <c r="L2324" s="24"/>
      <c r="M2324" s="24"/>
      <c r="N2324" s="24"/>
    </row>
    <row r="2325" spans="1:14">
      <c r="A2325" s="2"/>
      <c r="B2325" s="2"/>
      <c r="C2325" s="2"/>
      <c r="D2325" s="2">
        <f>ROUNDUP(6+F2325/2,0)</f>
        <v>7</v>
      </c>
      <c r="E2325" s="2" t="s">
        <v>6</v>
      </c>
      <c r="F2325" s="24">
        <f>LEN(G2325)</f>
        <v>2</v>
      </c>
      <c r="G2325" s="24" t="s">
        <v>273</v>
      </c>
      <c r="H2325" s="24">
        <f>H2323-400</f>
        <v>3900</v>
      </c>
      <c r="I2325" s="24">
        <f>G2323+600</f>
        <v>2600</v>
      </c>
      <c r="J2325" s="24"/>
      <c r="K2325" s="24"/>
      <c r="L2325" s="24"/>
      <c r="M2325" s="24"/>
      <c r="N2325" s="24"/>
    </row>
    <row r="2326" spans="1:14">
      <c r="A2326" t="s">
        <v>266</v>
      </c>
      <c r="B2326" t="s">
        <v>2</v>
      </c>
      <c r="C2326" t="s">
        <v>3</v>
      </c>
      <c r="D2326" s="2">
        <v>18</v>
      </c>
      <c r="E2326" s="2" t="s">
        <v>111</v>
      </c>
      <c r="F2326" s="24">
        <v>200</v>
      </c>
      <c r="G2326" s="24">
        <f>B2327-200</f>
        <v>1000</v>
      </c>
      <c r="H2326" s="24">
        <f>C2327</f>
        <v>10000</v>
      </c>
      <c r="I2326" s="24">
        <f>G2326+600+B2338+B2339</f>
        <v>4600</v>
      </c>
      <c r="J2326" s="24">
        <f>C2327</f>
        <v>10000</v>
      </c>
      <c r="K2326" s="24"/>
      <c r="L2326" s="24"/>
    </row>
    <row r="2327" spans="1:14">
      <c r="B2327">
        <v>1200</v>
      </c>
      <c r="C2327">
        <v>10000</v>
      </c>
      <c r="D2327" s="2">
        <v>18</v>
      </c>
      <c r="E2327" s="2" t="s">
        <v>111</v>
      </c>
      <c r="F2327" s="24">
        <v>200</v>
      </c>
      <c r="G2327" s="24">
        <f>B2327</f>
        <v>1200</v>
      </c>
      <c r="H2327" s="24">
        <f>C2327+200</f>
        <v>10200</v>
      </c>
      <c r="I2327" s="24">
        <f>G2327</f>
        <v>1200</v>
      </c>
      <c r="J2327" s="24">
        <f>H2327-3000</f>
        <v>7200</v>
      </c>
      <c r="K2327" s="24"/>
      <c r="L2327" s="24"/>
    </row>
    <row r="2328" spans="1:14">
      <c r="D2328" s="2">
        <f>ROUNDUP(6+F2328/2,0)</f>
        <v>7</v>
      </c>
      <c r="E2328" s="2" t="s">
        <v>6</v>
      </c>
      <c r="F2328" s="24">
        <f>LEN(G2328)</f>
        <v>1</v>
      </c>
      <c r="G2328" s="24" t="s">
        <v>42</v>
      </c>
      <c r="H2328" s="24">
        <f>J2327-150</f>
        <v>7050</v>
      </c>
      <c r="I2328" s="24">
        <f>G2327+200</f>
        <v>1400</v>
      </c>
      <c r="J2328" s="24"/>
      <c r="K2328" s="24"/>
      <c r="L2328" s="24"/>
      <c r="M2328" s="24"/>
      <c r="N2328" s="24"/>
    </row>
    <row r="2329" spans="1:14">
      <c r="D2329" s="2">
        <f>ROUNDUP(6+F2329/2,0)</f>
        <v>7</v>
      </c>
      <c r="E2329" s="2" t="s">
        <v>6</v>
      </c>
      <c r="F2329" s="24">
        <f>LEN(G2329)</f>
        <v>1</v>
      </c>
      <c r="G2329" s="24" t="s">
        <v>22</v>
      </c>
      <c r="H2329" s="24">
        <f>H2326-150</f>
        <v>9850</v>
      </c>
      <c r="I2329" s="24">
        <f>I2326+100</f>
        <v>4700</v>
      </c>
      <c r="J2329" s="24"/>
      <c r="K2329" s="24"/>
      <c r="L2329" s="24"/>
    </row>
    <row r="2330" spans="1:14">
      <c r="A2330" s="2"/>
      <c r="B2330" s="2"/>
      <c r="C2330" s="2"/>
      <c r="D2330" s="2">
        <f>F2330*2+4</f>
        <v>8</v>
      </c>
      <c r="E2330" s="2" t="s">
        <v>1</v>
      </c>
      <c r="F2330" s="24">
        <v>2</v>
      </c>
      <c r="G2330" s="24">
        <f>B2327-100</f>
        <v>1100</v>
      </c>
      <c r="H2330" s="24">
        <f>C2327-1000</f>
        <v>9000</v>
      </c>
      <c r="I2330" s="24">
        <f>B2327+100</f>
        <v>1300</v>
      </c>
      <c r="J2330" s="24">
        <f>H2330</f>
        <v>9000</v>
      </c>
      <c r="K2330" s="24"/>
      <c r="L2330" s="24"/>
      <c r="M2330" s="24"/>
      <c r="N2330" s="24"/>
    </row>
    <row r="2331" spans="1:14">
      <c r="A2331" s="2"/>
      <c r="B2331" s="2"/>
      <c r="C2331" s="2"/>
      <c r="D2331" s="2">
        <f>F2331*2+4</f>
        <v>8</v>
      </c>
      <c r="E2331" s="2" t="s">
        <v>1</v>
      </c>
      <c r="F2331" s="24">
        <v>2</v>
      </c>
      <c r="G2331" s="24">
        <f>G2330</f>
        <v>1100</v>
      </c>
      <c r="H2331" s="24">
        <f>C2327-2000</f>
        <v>8000</v>
      </c>
      <c r="I2331" s="24">
        <f>I2330</f>
        <v>1300</v>
      </c>
      <c r="J2331" s="24">
        <f>H2331</f>
        <v>8000</v>
      </c>
      <c r="K2331" s="24"/>
      <c r="L2331" s="24"/>
      <c r="M2331" s="24"/>
      <c r="N2331" s="24"/>
    </row>
    <row r="2332" spans="1:14">
      <c r="A2332" s="2"/>
      <c r="B2332" s="2"/>
      <c r="C2332" s="2"/>
      <c r="D2332" s="2">
        <f>ROUNDUP(6+F2332/2,0)</f>
        <v>7</v>
      </c>
      <c r="E2332" s="2" t="s">
        <v>6</v>
      </c>
      <c r="F2332" s="24">
        <f>LEN(G2332)</f>
        <v>1</v>
      </c>
      <c r="G2332" s="24">
        <v>1</v>
      </c>
      <c r="H2332" s="24">
        <f>H2330-150</f>
        <v>8850</v>
      </c>
      <c r="I2332" s="24">
        <f>G2330-200</f>
        <v>900</v>
      </c>
      <c r="K2332" s="24"/>
      <c r="L2332" s="24"/>
      <c r="M2332" s="24"/>
      <c r="N2332" s="24"/>
    </row>
    <row r="2333" spans="1:14">
      <c r="A2333" s="2"/>
      <c r="B2333" s="2"/>
      <c r="C2333" s="2"/>
      <c r="D2333" s="2">
        <f>ROUNDUP(6+F2333/2,0)</f>
        <v>7</v>
      </c>
      <c r="E2333" s="2" t="s">
        <v>6</v>
      </c>
      <c r="F2333" s="24">
        <f>LEN(G2333)</f>
        <v>1</v>
      </c>
      <c r="G2333" s="24">
        <v>2</v>
      </c>
      <c r="H2333" s="24">
        <f>H2331-150</f>
        <v>7850</v>
      </c>
      <c r="I2333" s="24">
        <f>I2332</f>
        <v>900</v>
      </c>
      <c r="J2333" s="24"/>
      <c r="K2333" s="24"/>
      <c r="L2333" s="24"/>
      <c r="M2333" s="24"/>
      <c r="N2333" s="24"/>
    </row>
    <row r="2334" spans="1:14">
      <c r="A2334" s="2"/>
      <c r="B2334" s="2"/>
      <c r="C2334" s="2"/>
      <c r="D2334" s="2">
        <f>ROUNDUP(6+F2334/2,0)</f>
        <v>10</v>
      </c>
      <c r="E2334" s="2" t="s">
        <v>6</v>
      </c>
      <c r="F2334" s="24">
        <f>LEN(G2334)</f>
        <v>7</v>
      </c>
      <c r="G2334" s="24" t="s">
        <v>274</v>
      </c>
      <c r="H2334" s="24">
        <f>H2333+300</f>
        <v>8150</v>
      </c>
      <c r="I2334" s="24">
        <f>I2333-800</f>
        <v>100</v>
      </c>
      <c r="J2334" s="24"/>
      <c r="K2334" s="24"/>
      <c r="L2334" s="24"/>
      <c r="M2334" s="24"/>
      <c r="N2334" s="24"/>
    </row>
    <row r="2335" spans="1:14">
      <c r="A2335" s="2"/>
      <c r="B2335" s="2"/>
      <c r="C2335" s="2"/>
      <c r="D2335" s="2">
        <f>ROUNDUP(6+F2335/2,0)</f>
        <v>8</v>
      </c>
      <c r="E2335" s="2" t="s">
        <v>6</v>
      </c>
      <c r="F2335" s="24">
        <f>LEN(G2335)</f>
        <v>4</v>
      </c>
      <c r="G2335" s="40" t="s">
        <v>275</v>
      </c>
      <c r="H2335" s="24">
        <f>H2334+300</f>
        <v>8450</v>
      </c>
      <c r="I2335" s="24">
        <f>I2334</f>
        <v>100</v>
      </c>
      <c r="J2335" s="24"/>
      <c r="K2335" s="40"/>
      <c r="L2335" s="24"/>
      <c r="M2335" s="24"/>
      <c r="N2335" s="24"/>
    </row>
    <row r="2336" spans="1:14">
      <c r="A2336" s="2"/>
      <c r="B2336" s="2"/>
      <c r="C2336" s="2"/>
      <c r="D2336" s="2">
        <v>7</v>
      </c>
      <c r="E2336" s="2" t="s">
        <v>0</v>
      </c>
      <c r="F2336" s="24">
        <f>H2336+400</f>
        <v>8100</v>
      </c>
      <c r="G2336" s="24">
        <f>I2336+400</f>
        <v>500</v>
      </c>
      <c r="H2336" s="24">
        <f>H2337-50</f>
        <v>7700</v>
      </c>
      <c r="I2336" s="24">
        <f>I2335</f>
        <v>100</v>
      </c>
      <c r="J2336" s="24"/>
      <c r="K2336" s="24"/>
      <c r="L2336" s="24"/>
      <c r="M2336" s="24"/>
      <c r="N2336" s="24"/>
    </row>
    <row r="2337" spans="1:14">
      <c r="A2337" s="2"/>
      <c r="B2337" s="2"/>
      <c r="C2337" s="2"/>
      <c r="D2337" s="2">
        <f>ROUNDUP(6+F2337/2,0)</f>
        <v>7</v>
      </c>
      <c r="E2337" s="2" t="s">
        <v>6</v>
      </c>
      <c r="F2337" s="24">
        <f>LEN(G2337)</f>
        <v>1</v>
      </c>
      <c r="G2337" s="40">
        <v>3</v>
      </c>
      <c r="H2337" s="24">
        <f>H2334-400</f>
        <v>7750</v>
      </c>
      <c r="I2337" s="24">
        <f>I2335+128</f>
        <v>228</v>
      </c>
      <c r="J2337" s="24"/>
      <c r="K2337" s="24"/>
      <c r="L2337" s="24"/>
      <c r="M2337" s="24"/>
      <c r="N2337" s="24"/>
    </row>
    <row r="2338" spans="1:14">
      <c r="A2338" s="2"/>
      <c r="B2338" s="2">
        <v>1100</v>
      </c>
      <c r="C2338" s="2"/>
      <c r="D2338" s="2">
        <v>7</v>
      </c>
      <c r="E2338" s="2" t="s">
        <v>5</v>
      </c>
      <c r="F2338" s="24">
        <f>C2327</f>
        <v>10000</v>
      </c>
      <c r="G2338" s="24">
        <f>B2327</f>
        <v>1200</v>
      </c>
      <c r="H2338" s="24">
        <f>F2338-1000</f>
        <v>9000</v>
      </c>
      <c r="I2338" s="24">
        <f>B2327+B2338</f>
        <v>2300</v>
      </c>
      <c r="J2338" s="24"/>
      <c r="K2338" s="24"/>
      <c r="L2338" s="24"/>
      <c r="M2338" s="24"/>
      <c r="N2338" s="24"/>
    </row>
    <row r="2339" spans="1:14">
      <c r="A2339" s="2"/>
      <c r="B2339" s="2">
        <v>1900</v>
      </c>
      <c r="C2339" s="2"/>
      <c r="D2339" s="2">
        <v>7</v>
      </c>
      <c r="E2339" s="2" t="s">
        <v>5</v>
      </c>
      <c r="F2339" s="24">
        <f>F2338</f>
        <v>10000</v>
      </c>
      <c r="G2339" s="24">
        <f>I2338</f>
        <v>2300</v>
      </c>
      <c r="H2339" s="24">
        <f>F2339-2000</f>
        <v>8000</v>
      </c>
      <c r="I2339" s="24">
        <f>G2339+B2339</f>
        <v>4200</v>
      </c>
      <c r="J2339" s="24"/>
      <c r="K2339" s="24"/>
      <c r="L2339" s="24"/>
      <c r="M2339" s="24"/>
      <c r="N2339" s="24"/>
    </row>
    <row r="2340" spans="1:14">
      <c r="A2340" s="2"/>
      <c r="B2340" s="2"/>
      <c r="C2340" s="2"/>
      <c r="D2340" s="2">
        <f>F2340*2+4</f>
        <v>8</v>
      </c>
      <c r="E2340" s="2" t="s">
        <v>1</v>
      </c>
      <c r="F2340" s="24">
        <v>2</v>
      </c>
      <c r="G2340" s="24">
        <f>I2338</f>
        <v>2300</v>
      </c>
      <c r="H2340" s="6">
        <f>F2338-100</f>
        <v>9900</v>
      </c>
      <c r="I2340" s="6">
        <f>G2340</f>
        <v>2300</v>
      </c>
      <c r="J2340" s="24">
        <f>H2340+200</f>
        <v>10100</v>
      </c>
      <c r="K2340" s="24"/>
      <c r="L2340" s="24"/>
      <c r="M2340" s="24"/>
      <c r="N2340" s="24"/>
    </row>
    <row r="2341" spans="1:14">
      <c r="D2341" s="2">
        <f>F2341*2+4</f>
        <v>8</v>
      </c>
      <c r="E2341" s="2" t="s">
        <v>1</v>
      </c>
      <c r="F2341" s="24">
        <v>2</v>
      </c>
      <c r="G2341" s="24">
        <f>I2339</f>
        <v>4200</v>
      </c>
      <c r="H2341" s="6">
        <f>F2339-100</f>
        <v>9900</v>
      </c>
      <c r="I2341" s="6">
        <f>G2341</f>
        <v>4200</v>
      </c>
      <c r="J2341" s="24">
        <f>H2341+200</f>
        <v>10100</v>
      </c>
      <c r="K2341" s="24"/>
      <c r="L2341" s="24"/>
    </row>
    <row r="2342" spans="1:14">
      <c r="D2342" s="2">
        <f>ROUNDUP(6+F2342/2,0)</f>
        <v>8</v>
      </c>
      <c r="E2342" s="2" t="s">
        <v>6</v>
      </c>
      <c r="F2342" s="24">
        <f>LEN(G2342)</f>
        <v>3</v>
      </c>
      <c r="G2342" s="24">
        <f>B2338/1000</f>
        <v>1.1000000000000001</v>
      </c>
      <c r="H2342" s="24">
        <f>J2340</f>
        <v>10100</v>
      </c>
      <c r="I2342" s="24">
        <f>G2340-300</f>
        <v>2000</v>
      </c>
      <c r="K2342" s="24"/>
      <c r="L2342" s="24"/>
    </row>
    <row r="2343" spans="1:14">
      <c r="A2343" s="2"/>
      <c r="B2343" s="2"/>
      <c r="C2343" s="2"/>
      <c r="D2343" s="2">
        <f>ROUNDUP(6+F2343/2,0)</f>
        <v>7</v>
      </c>
      <c r="E2343" s="2" t="s">
        <v>6</v>
      </c>
      <c r="F2343" s="24">
        <f>LEN(G2343)</f>
        <v>1</v>
      </c>
      <c r="G2343" s="24">
        <f>G2342+B2339/1000</f>
        <v>3</v>
      </c>
      <c r="H2343" s="24">
        <f>H2342</f>
        <v>10100</v>
      </c>
      <c r="I2343" s="24">
        <f>G2341-100</f>
        <v>4100</v>
      </c>
      <c r="J2343" s="24"/>
      <c r="K2343" s="24"/>
      <c r="L2343" s="24"/>
      <c r="M2343" s="24"/>
      <c r="N2343" s="24"/>
    </row>
    <row r="2344" spans="1:14">
      <c r="A2344" s="2" t="s">
        <v>268</v>
      </c>
      <c r="B2344" s="2"/>
      <c r="C2344" s="2">
        <f>C2327-2300</f>
        <v>7700</v>
      </c>
      <c r="D2344" s="2">
        <v>18</v>
      </c>
      <c r="E2344" s="2" t="s">
        <v>111</v>
      </c>
      <c r="F2344" s="24">
        <v>200</v>
      </c>
      <c r="G2344" s="24">
        <f>B2327</f>
        <v>1200</v>
      </c>
      <c r="H2344" s="24">
        <f>C2344</f>
        <v>7700</v>
      </c>
      <c r="I2344" s="24">
        <f>B2327+B2338+B2339</f>
        <v>4200</v>
      </c>
      <c r="J2344" s="24">
        <f>H2344</f>
        <v>7700</v>
      </c>
      <c r="K2344" s="24"/>
      <c r="L2344" s="24"/>
      <c r="M2344" s="24"/>
      <c r="N2344" s="24"/>
    </row>
    <row r="2345" spans="1:14">
      <c r="A2345" s="2"/>
      <c r="B2345" s="2"/>
      <c r="C2345" s="2"/>
      <c r="D2345" s="2">
        <f>F2345*2+4</f>
        <v>10</v>
      </c>
      <c r="E2345" s="2" t="s">
        <v>4</v>
      </c>
      <c r="F2345" s="24">
        <v>3</v>
      </c>
      <c r="G2345" s="24">
        <f>G2344</f>
        <v>1200</v>
      </c>
      <c r="H2345" s="24">
        <f>C2344</f>
        <v>7700</v>
      </c>
      <c r="I2345" s="24">
        <f>G2345+200</f>
        <v>1400</v>
      </c>
      <c r="J2345" s="24">
        <f>H2345+100</f>
        <v>7800</v>
      </c>
      <c r="K2345" s="24">
        <f>I2345</f>
        <v>1400</v>
      </c>
      <c r="L2345" s="24">
        <f>J2345-200</f>
        <v>7600</v>
      </c>
      <c r="M2345" s="24"/>
      <c r="N2345" s="24"/>
    </row>
    <row r="2346" spans="1:14">
      <c r="A2346" s="2"/>
      <c r="B2346" s="2"/>
      <c r="C2346" s="2"/>
      <c r="D2346" s="2">
        <f>F2346*2+4</f>
        <v>12</v>
      </c>
      <c r="E2346" s="2" t="s">
        <v>4</v>
      </c>
      <c r="F2346" s="24">
        <v>4</v>
      </c>
      <c r="G2346" s="24">
        <f>B2327+B2338-200</f>
        <v>2100</v>
      </c>
      <c r="H2346" s="24">
        <f>C2344+100</f>
        <v>7800</v>
      </c>
      <c r="I2346" s="24">
        <f>G2346</f>
        <v>2100</v>
      </c>
      <c r="J2346" s="24">
        <f>H2346-200</f>
        <v>7600</v>
      </c>
      <c r="K2346" s="24">
        <f>I2346+400</f>
        <v>2500</v>
      </c>
      <c r="L2346" s="24">
        <f>H2346</f>
        <v>7800</v>
      </c>
      <c r="M2346" s="24">
        <f>K2346</f>
        <v>2500</v>
      </c>
      <c r="N2346" s="24">
        <f>J2346</f>
        <v>7600</v>
      </c>
    </row>
    <row r="2347" spans="1:14">
      <c r="A2347" s="2"/>
      <c r="B2347" s="2"/>
      <c r="C2347" s="2"/>
      <c r="D2347" s="2">
        <f>F2347*2+4</f>
        <v>8</v>
      </c>
      <c r="E2347" s="2" t="s">
        <v>1</v>
      </c>
      <c r="F2347" s="24">
        <v>2</v>
      </c>
      <c r="G2347" s="24">
        <f>G2340</f>
        <v>2300</v>
      </c>
      <c r="H2347" s="24">
        <f>C2344-200</f>
        <v>7500</v>
      </c>
      <c r="I2347" s="24">
        <f>I2340</f>
        <v>2300</v>
      </c>
      <c r="J2347" s="24">
        <f>H2347+400</f>
        <v>7900</v>
      </c>
      <c r="K2347" s="24"/>
      <c r="L2347" s="24"/>
      <c r="M2347" s="24"/>
      <c r="N2347" s="24"/>
    </row>
    <row r="2348" spans="1:14">
      <c r="A2348" s="2"/>
      <c r="B2348" s="2"/>
      <c r="C2348" s="2"/>
      <c r="D2348" s="2">
        <f>F2348*2+4</f>
        <v>8</v>
      </c>
      <c r="E2348" s="2" t="s">
        <v>1</v>
      </c>
      <c r="F2348" s="24">
        <v>2</v>
      </c>
      <c r="G2348" s="24">
        <f>G2347+B2339</f>
        <v>4200</v>
      </c>
      <c r="H2348" s="24">
        <f>H2347</f>
        <v>7500</v>
      </c>
      <c r="I2348" s="24">
        <f>G2348</f>
        <v>4200</v>
      </c>
      <c r="J2348" s="24">
        <f>J2347</f>
        <v>7900</v>
      </c>
      <c r="K2348" s="24"/>
      <c r="L2348" s="24"/>
      <c r="M2348" s="24"/>
      <c r="N2348" s="24"/>
    </row>
    <row r="2349" spans="1:14">
      <c r="A2349" s="2"/>
      <c r="B2349" s="2"/>
      <c r="C2349" s="2"/>
      <c r="D2349" s="2">
        <f>ROUNDUP(6+F2349/2,0)</f>
        <v>7</v>
      </c>
      <c r="E2349" s="2" t="s">
        <v>6</v>
      </c>
      <c r="F2349" s="24">
        <f>LEN(G2349)</f>
        <v>2</v>
      </c>
      <c r="G2349" s="24" t="s">
        <v>267</v>
      </c>
      <c r="H2349" s="24">
        <f>C2344-300</f>
        <v>7400</v>
      </c>
      <c r="I2349" s="24">
        <f>B2327+400</f>
        <v>1600</v>
      </c>
      <c r="J2349" s="24"/>
      <c r="K2349" s="24"/>
      <c r="L2349" s="24"/>
      <c r="M2349" s="24"/>
      <c r="N2349" s="24"/>
    </row>
    <row r="2350" spans="1:14">
      <c r="A2350" s="2"/>
      <c r="B2350" s="2"/>
      <c r="C2350" s="2"/>
      <c r="D2350" s="2">
        <f>ROUNDUP(6+F2350/2,0)</f>
        <v>7</v>
      </c>
      <c r="E2350" s="2" t="s">
        <v>6</v>
      </c>
      <c r="F2350" s="24">
        <f>LEN(G2350)</f>
        <v>1</v>
      </c>
      <c r="G2350" s="24">
        <v>1</v>
      </c>
      <c r="H2350" s="24">
        <f>C2344-300</f>
        <v>7400</v>
      </c>
      <c r="I2350" s="24">
        <f>I2349+B2338</f>
        <v>2700</v>
      </c>
      <c r="J2350" s="24"/>
      <c r="K2350" s="24"/>
      <c r="L2350" s="24"/>
      <c r="M2350" s="24"/>
      <c r="N2350" s="24"/>
    </row>
    <row r="2351" spans="1:14">
      <c r="A2351" s="2" t="s">
        <v>54</v>
      </c>
      <c r="B2351" s="2">
        <v>100</v>
      </c>
      <c r="C2351" s="2"/>
      <c r="D2351" s="2">
        <v>7</v>
      </c>
      <c r="E2351" s="2" t="s">
        <v>5</v>
      </c>
      <c r="F2351" s="24">
        <f t="shared" ref="F2351:H2352" si="142">F2338</f>
        <v>10000</v>
      </c>
      <c r="G2351" s="24">
        <f t="shared" si="142"/>
        <v>1200</v>
      </c>
      <c r="H2351" s="24">
        <f t="shared" si="142"/>
        <v>9000</v>
      </c>
      <c r="I2351" s="24">
        <f>G2351+B2351</f>
        <v>1300</v>
      </c>
      <c r="J2351" s="24"/>
      <c r="K2351" s="24"/>
      <c r="L2351" s="24"/>
      <c r="M2351" s="24"/>
      <c r="N2351" s="24"/>
    </row>
    <row r="2352" spans="1:14">
      <c r="A2352" s="2"/>
      <c r="B2352" s="2">
        <v>900</v>
      </c>
      <c r="C2352" s="2"/>
      <c r="D2352" s="2">
        <v>7</v>
      </c>
      <c r="E2352" s="2" t="s">
        <v>5</v>
      </c>
      <c r="F2352" s="24">
        <f t="shared" si="142"/>
        <v>10000</v>
      </c>
      <c r="G2352" s="24">
        <f t="shared" si="142"/>
        <v>2300</v>
      </c>
      <c r="H2352" s="24">
        <f t="shared" si="142"/>
        <v>8000</v>
      </c>
      <c r="I2352" s="24">
        <f>G2352+B2352</f>
        <v>3200</v>
      </c>
      <c r="J2352" s="24"/>
      <c r="K2352" s="24"/>
      <c r="L2352" s="24"/>
      <c r="M2352" s="24"/>
      <c r="N2352" s="24"/>
    </row>
    <row r="2353" spans="1:14">
      <c r="A2353" s="2"/>
      <c r="B2353" s="2"/>
      <c r="C2353" s="2"/>
      <c r="D2353" s="2">
        <f>F2353*2+4</f>
        <v>8</v>
      </c>
      <c r="E2353" s="2" t="s">
        <v>1</v>
      </c>
      <c r="F2353" s="24">
        <v>2</v>
      </c>
      <c r="G2353" s="24">
        <f>I2351</f>
        <v>1300</v>
      </c>
      <c r="H2353" s="6">
        <f>F2351-100</f>
        <v>9900</v>
      </c>
      <c r="I2353" s="6">
        <f>G2353</f>
        <v>1300</v>
      </c>
      <c r="J2353" s="24">
        <f>H2353+200</f>
        <v>10100</v>
      </c>
      <c r="K2353" s="24"/>
      <c r="L2353" s="24"/>
      <c r="M2353" s="24"/>
      <c r="N2353" s="24"/>
    </row>
    <row r="2354" spans="1:14">
      <c r="A2354" s="2"/>
      <c r="B2354" s="2"/>
      <c r="C2354" s="2"/>
      <c r="D2354" s="2">
        <f>F2354*2+4</f>
        <v>8</v>
      </c>
      <c r="E2354" s="2" t="s">
        <v>1</v>
      </c>
      <c r="F2354" s="24">
        <v>2</v>
      </c>
      <c r="G2354" s="24">
        <f>I2352</f>
        <v>3200</v>
      </c>
      <c r="H2354" s="6">
        <f>F2352-100</f>
        <v>9900</v>
      </c>
      <c r="I2354" s="6">
        <f>G2354</f>
        <v>3200</v>
      </c>
      <c r="J2354" s="24">
        <f>H2354+200</f>
        <v>10100</v>
      </c>
      <c r="K2354" s="24"/>
      <c r="L2354" s="24"/>
      <c r="M2354" s="24"/>
      <c r="N2354" s="24"/>
    </row>
    <row r="2355" spans="1:14">
      <c r="A2355" s="2"/>
      <c r="B2355" s="2"/>
      <c r="C2355" s="2"/>
      <c r="D2355" s="2">
        <f>ROUNDUP(6+F2355/2,0)</f>
        <v>8</v>
      </c>
      <c r="E2355" s="2" t="s">
        <v>6</v>
      </c>
      <c r="F2355" s="24">
        <f>LEN(G2355)</f>
        <v>3</v>
      </c>
      <c r="G2355" s="24">
        <f>B2351/1000</f>
        <v>0.1</v>
      </c>
      <c r="H2355" s="24">
        <f>J2353</f>
        <v>10100</v>
      </c>
      <c r="I2355" s="24">
        <f>G2353-50</f>
        <v>1250</v>
      </c>
      <c r="K2355" s="24"/>
      <c r="L2355" s="24"/>
      <c r="M2355" s="24"/>
      <c r="N2355" s="24"/>
    </row>
    <row r="2356" spans="1:14">
      <c r="A2356" s="2"/>
      <c r="B2356" s="2"/>
      <c r="C2356" s="2"/>
      <c r="D2356" s="2">
        <f>ROUNDUP(6+F2356/2,0)</f>
        <v>7</v>
      </c>
      <c r="E2356" s="2" t="s">
        <v>6</v>
      </c>
      <c r="F2356" s="24">
        <f>LEN(G2356)</f>
        <v>1</v>
      </c>
      <c r="G2356" s="24">
        <f>G2355+B2339/1000</f>
        <v>2</v>
      </c>
      <c r="H2356" s="24">
        <f>H2355</f>
        <v>10100</v>
      </c>
      <c r="I2356" s="24">
        <f>G2354-50</f>
        <v>3150</v>
      </c>
      <c r="J2356" s="24"/>
      <c r="K2356" s="24"/>
      <c r="L2356" s="24"/>
      <c r="M2356" s="24"/>
      <c r="N2356" s="24"/>
    </row>
    <row r="2357" spans="1:14">
      <c r="A2357" s="2"/>
      <c r="B2357" s="2"/>
      <c r="C2357" s="2"/>
      <c r="D2357" s="2">
        <f>ROUNDUP(6+F2357/2,0)</f>
        <v>8</v>
      </c>
      <c r="E2357" s="2" t="s">
        <v>6</v>
      </c>
      <c r="F2357" s="24">
        <f>LEN(G2357)</f>
        <v>3</v>
      </c>
      <c r="G2357" s="24" t="s">
        <v>211</v>
      </c>
      <c r="H2357" s="24">
        <f>C2327-2000</f>
        <v>8000</v>
      </c>
      <c r="I2357" s="24">
        <f>B2327+100</f>
        <v>1300</v>
      </c>
      <c r="J2357" s="24"/>
      <c r="K2357" s="24"/>
      <c r="L2357" s="24"/>
      <c r="M2357" s="24"/>
      <c r="N2357" s="24"/>
    </row>
    <row r="2358" spans="1:14">
      <c r="A2358" s="2"/>
      <c r="B2358" s="2"/>
      <c r="C2358" s="2"/>
      <c r="D2358" s="2">
        <f>ROUNDUP(6+F2358/2,0)</f>
        <v>9</v>
      </c>
      <c r="E2358" s="2" t="s">
        <v>6</v>
      </c>
      <c r="F2358" s="24">
        <f>LEN(G2358)</f>
        <v>6</v>
      </c>
      <c r="G2358" s="24" t="s">
        <v>279</v>
      </c>
      <c r="H2358" s="24">
        <f>H2357+300</f>
        <v>8300</v>
      </c>
      <c r="I2358" s="24">
        <f>I2357</f>
        <v>1300</v>
      </c>
      <c r="J2358" s="24"/>
      <c r="K2358" s="24"/>
      <c r="L2358" s="24"/>
      <c r="M2358" s="24"/>
      <c r="N2358" s="24"/>
    </row>
    <row r="2359" spans="1:14">
      <c r="A2359" s="2" t="s">
        <v>272</v>
      </c>
      <c r="B2359" s="7">
        <v>2100</v>
      </c>
      <c r="C2359" s="2"/>
      <c r="D2359" s="2">
        <f>F2359*2+4</f>
        <v>12</v>
      </c>
      <c r="E2359" s="2" t="s">
        <v>4</v>
      </c>
      <c r="F2359" s="24">
        <v>4</v>
      </c>
      <c r="G2359" s="24">
        <f>B2359-200+B2327</f>
        <v>3100</v>
      </c>
      <c r="H2359" s="24">
        <f>C2344+100</f>
        <v>7800</v>
      </c>
      <c r="I2359" s="24">
        <f>G2359</f>
        <v>3100</v>
      </c>
      <c r="J2359" s="24">
        <f>H2359-200</f>
        <v>7600</v>
      </c>
      <c r="K2359" s="24">
        <f>I2359+400</f>
        <v>3500</v>
      </c>
      <c r="L2359" s="24">
        <f>H2359</f>
        <v>7800</v>
      </c>
      <c r="M2359" s="24">
        <f>K2359</f>
        <v>3500</v>
      </c>
      <c r="N2359" s="24">
        <f>J2359</f>
        <v>7600</v>
      </c>
    </row>
    <row r="2360" spans="1:14">
      <c r="A2360" s="2"/>
      <c r="B2360" s="2"/>
      <c r="C2360" s="2"/>
      <c r="D2360" s="2">
        <f>F2360*2+4</f>
        <v>8</v>
      </c>
      <c r="E2360" s="2" t="s">
        <v>1</v>
      </c>
      <c r="F2360" s="24">
        <v>2</v>
      </c>
      <c r="G2360" s="24">
        <f>G2359+200</f>
        <v>3300</v>
      </c>
      <c r="H2360" s="24">
        <f>H2359+100</f>
        <v>7900</v>
      </c>
      <c r="I2360" s="24">
        <f>G2360</f>
        <v>3300</v>
      </c>
      <c r="J2360" s="24">
        <f>J2359-100</f>
        <v>7500</v>
      </c>
      <c r="K2360" s="24"/>
      <c r="L2360" s="24"/>
      <c r="M2360" s="24"/>
      <c r="N2360" s="24"/>
    </row>
    <row r="2361" spans="1:14">
      <c r="A2361" s="2"/>
      <c r="B2361" s="2"/>
      <c r="C2361" s="2"/>
      <c r="D2361" s="2">
        <f>ROUNDUP(6+F2361/2,0)</f>
        <v>7</v>
      </c>
      <c r="E2361" s="2" t="s">
        <v>6</v>
      </c>
      <c r="F2361" s="24">
        <f>LEN(G2361)</f>
        <v>2</v>
      </c>
      <c r="G2361" s="24" t="s">
        <v>273</v>
      </c>
      <c r="H2361" s="24">
        <f>H2359-400</f>
        <v>7400</v>
      </c>
      <c r="I2361" s="24">
        <f>G2359+600</f>
        <v>3700</v>
      </c>
      <c r="J2361" s="24"/>
      <c r="K2361" s="24"/>
      <c r="L2361" s="24"/>
      <c r="M2361" s="24"/>
      <c r="N2361" s="24"/>
    </row>
    <row r="2362" spans="1:14">
      <c r="A2362" t="s">
        <v>266</v>
      </c>
      <c r="B2362" t="s">
        <v>2</v>
      </c>
      <c r="C2362" t="s">
        <v>3</v>
      </c>
      <c r="D2362" s="2">
        <v>18</v>
      </c>
      <c r="E2362" s="2" t="s">
        <v>111</v>
      </c>
      <c r="F2362" s="24">
        <v>200</v>
      </c>
      <c r="G2362" s="24">
        <f>B2363-200</f>
        <v>6300</v>
      </c>
      <c r="H2362" s="24">
        <f>C2363</f>
        <v>10000</v>
      </c>
      <c r="I2362" s="24">
        <f>G2362+600+B2374+B2375</f>
        <v>9900</v>
      </c>
      <c r="J2362" s="24">
        <f>C2363</f>
        <v>10000</v>
      </c>
      <c r="K2362" s="24"/>
      <c r="L2362" s="24"/>
    </row>
    <row r="2363" spans="1:14">
      <c r="B2363">
        <v>6500</v>
      </c>
      <c r="C2363">
        <v>10000</v>
      </c>
      <c r="D2363" s="2">
        <v>18</v>
      </c>
      <c r="E2363" s="2" t="s">
        <v>111</v>
      </c>
      <c r="F2363" s="24">
        <v>200</v>
      </c>
      <c r="G2363" s="24">
        <f>B2363</f>
        <v>6500</v>
      </c>
      <c r="H2363" s="24">
        <f>C2363+200</f>
        <v>10200</v>
      </c>
      <c r="I2363" s="24">
        <f>G2363</f>
        <v>6500</v>
      </c>
      <c r="J2363" s="24">
        <f>H2363-3000</f>
        <v>7200</v>
      </c>
      <c r="K2363" s="24"/>
      <c r="L2363" s="24"/>
    </row>
    <row r="2364" spans="1:14">
      <c r="D2364" s="2">
        <f>ROUNDUP(6+F2364/2,0)</f>
        <v>7</v>
      </c>
      <c r="E2364" s="2" t="s">
        <v>6</v>
      </c>
      <c r="F2364" s="24">
        <f>LEN(G2364)</f>
        <v>1</v>
      </c>
      <c r="G2364" s="24" t="s">
        <v>42</v>
      </c>
      <c r="H2364" s="24">
        <f>J2363-150</f>
        <v>7050</v>
      </c>
      <c r="I2364" s="24">
        <f>G2363+200</f>
        <v>6700</v>
      </c>
      <c r="J2364" s="24"/>
      <c r="K2364" s="24"/>
      <c r="L2364" s="24"/>
      <c r="M2364" s="24"/>
      <c r="N2364" s="24"/>
    </row>
    <row r="2365" spans="1:14">
      <c r="D2365" s="2">
        <f>ROUNDUP(6+F2365/2,0)</f>
        <v>7</v>
      </c>
      <c r="E2365" s="2" t="s">
        <v>6</v>
      </c>
      <c r="F2365" s="24">
        <f>LEN(G2365)</f>
        <v>1</v>
      </c>
      <c r="G2365" s="24" t="s">
        <v>22</v>
      </c>
      <c r="H2365" s="24">
        <f>H2362-150</f>
        <v>9850</v>
      </c>
      <c r="I2365" s="24">
        <f>I2362+100</f>
        <v>10000</v>
      </c>
      <c r="J2365" s="24"/>
      <c r="K2365" s="24"/>
      <c r="L2365" s="24"/>
    </row>
    <row r="2366" spans="1:14">
      <c r="A2366" s="2"/>
      <c r="B2366" s="2"/>
      <c r="C2366" s="2"/>
      <c r="D2366" s="2">
        <f>F2366*2+4</f>
        <v>8</v>
      </c>
      <c r="E2366" s="2" t="s">
        <v>1</v>
      </c>
      <c r="F2366" s="24">
        <v>2</v>
      </c>
      <c r="G2366" s="24">
        <f>B2363-100</f>
        <v>6400</v>
      </c>
      <c r="H2366" s="24">
        <f>C2363-1000</f>
        <v>9000</v>
      </c>
      <c r="I2366" s="24">
        <f>B2363+100</f>
        <v>6600</v>
      </c>
      <c r="J2366" s="24">
        <f>H2366</f>
        <v>9000</v>
      </c>
      <c r="K2366" s="24"/>
      <c r="L2366" s="24"/>
      <c r="M2366" s="24"/>
      <c r="N2366" s="24"/>
    </row>
    <row r="2367" spans="1:14">
      <c r="A2367" s="2"/>
      <c r="B2367" s="2"/>
      <c r="C2367" s="2"/>
      <c r="D2367" s="2">
        <f>F2367*2+4</f>
        <v>8</v>
      </c>
      <c r="E2367" s="2" t="s">
        <v>1</v>
      </c>
      <c r="F2367" s="24">
        <v>2</v>
      </c>
      <c r="G2367" s="24">
        <f>G2366</f>
        <v>6400</v>
      </c>
      <c r="H2367" s="24">
        <f>C2363-2000</f>
        <v>8000</v>
      </c>
      <c r="I2367" s="24">
        <f>I2366</f>
        <v>6600</v>
      </c>
      <c r="J2367" s="24">
        <f>H2367</f>
        <v>8000</v>
      </c>
      <c r="K2367" s="24"/>
      <c r="L2367" s="24"/>
      <c r="M2367" s="24"/>
      <c r="N2367" s="24"/>
    </row>
    <row r="2368" spans="1:14">
      <c r="A2368" s="2"/>
      <c r="B2368" s="2"/>
      <c r="C2368" s="2"/>
      <c r="D2368" s="2">
        <f>ROUNDUP(6+F2368/2,0)</f>
        <v>7</v>
      </c>
      <c r="E2368" s="2" t="s">
        <v>6</v>
      </c>
      <c r="F2368" s="24">
        <f>LEN(G2368)</f>
        <v>1</v>
      </c>
      <c r="G2368" s="24">
        <v>1</v>
      </c>
      <c r="H2368" s="24">
        <f>H2366-150</f>
        <v>8850</v>
      </c>
      <c r="I2368" s="24">
        <f>G2366-200</f>
        <v>6200</v>
      </c>
      <c r="K2368" s="24"/>
      <c r="L2368" s="24"/>
      <c r="M2368" s="24"/>
      <c r="N2368" s="24"/>
    </row>
    <row r="2369" spans="1:14">
      <c r="A2369" s="2"/>
      <c r="B2369" s="2"/>
      <c r="C2369" s="2"/>
      <c r="D2369" s="2">
        <f>ROUNDUP(6+F2369/2,0)</f>
        <v>7</v>
      </c>
      <c r="E2369" s="2" t="s">
        <v>6</v>
      </c>
      <c r="F2369" s="24">
        <f>LEN(G2369)</f>
        <v>1</v>
      </c>
      <c r="G2369" s="24">
        <v>2</v>
      </c>
      <c r="H2369" s="24">
        <f>H2367-150</f>
        <v>7850</v>
      </c>
      <c r="I2369" s="24">
        <f>I2368</f>
        <v>6200</v>
      </c>
      <c r="J2369" s="24"/>
      <c r="K2369" s="24"/>
      <c r="L2369" s="24"/>
      <c r="M2369" s="24"/>
      <c r="N2369" s="24"/>
    </row>
    <row r="2370" spans="1:14">
      <c r="A2370" s="2"/>
      <c r="B2370" s="2"/>
      <c r="C2370" s="2"/>
      <c r="D2370" s="2">
        <f>ROUNDUP(6+F2370/2,0)</f>
        <v>10</v>
      </c>
      <c r="E2370" s="2" t="s">
        <v>6</v>
      </c>
      <c r="F2370" s="24">
        <f>LEN(G2370)</f>
        <v>7</v>
      </c>
      <c r="G2370" s="24" t="s">
        <v>274</v>
      </c>
      <c r="H2370" s="24">
        <f>H2369+300</f>
        <v>8150</v>
      </c>
      <c r="I2370" s="24">
        <f>I2369-800</f>
        <v>5400</v>
      </c>
      <c r="J2370" s="24"/>
      <c r="K2370" s="24"/>
      <c r="L2370" s="24"/>
      <c r="M2370" s="24"/>
      <c r="N2370" s="24"/>
    </row>
    <row r="2371" spans="1:14">
      <c r="A2371" s="2"/>
      <c r="B2371" s="2"/>
      <c r="C2371" s="2"/>
      <c r="D2371" s="2">
        <v>7</v>
      </c>
      <c r="E2371" s="2" t="s">
        <v>0</v>
      </c>
      <c r="F2371" s="24">
        <f>H2371+400</f>
        <v>8100</v>
      </c>
      <c r="G2371" s="24">
        <f>I2371+400</f>
        <v>5800</v>
      </c>
      <c r="H2371" s="24">
        <f>H2372-50</f>
        <v>7700</v>
      </c>
      <c r="I2371" s="24">
        <f>I2370</f>
        <v>5400</v>
      </c>
      <c r="J2371" s="24"/>
      <c r="K2371" s="24"/>
      <c r="L2371" s="24"/>
      <c r="M2371" s="24"/>
      <c r="N2371" s="24"/>
    </row>
    <row r="2372" spans="1:14">
      <c r="A2372" s="2"/>
      <c r="B2372" s="2"/>
      <c r="C2372" s="2"/>
      <c r="D2372" s="2">
        <f>ROUNDUP(6+F2372/2,0)</f>
        <v>7</v>
      </c>
      <c r="E2372" s="2" t="s">
        <v>6</v>
      </c>
      <c r="F2372" s="24">
        <f>LEN(G2372)</f>
        <v>1</v>
      </c>
      <c r="G2372" s="40">
        <v>6</v>
      </c>
      <c r="H2372" s="24">
        <f>H2370-400</f>
        <v>7750</v>
      </c>
      <c r="I2372" s="24">
        <f>I2370+128</f>
        <v>5528</v>
      </c>
      <c r="J2372" s="24"/>
      <c r="K2372" s="24"/>
      <c r="L2372" s="24"/>
      <c r="M2372" s="24"/>
      <c r="N2372" s="24"/>
    </row>
    <row r="2373" spans="1:14">
      <c r="A2373" s="2"/>
      <c r="B2373" s="2"/>
      <c r="C2373" s="2"/>
      <c r="D2373" s="2">
        <f>ROUNDUP(6+F2373/2,0)</f>
        <v>8</v>
      </c>
      <c r="E2373" s="2" t="s">
        <v>6</v>
      </c>
      <c r="F2373" s="24">
        <f>LEN(G2373)</f>
        <v>4</v>
      </c>
      <c r="G2373" s="40" t="s">
        <v>275</v>
      </c>
      <c r="H2373" s="24">
        <f>H2370+300</f>
        <v>8450</v>
      </c>
      <c r="I2373" s="24">
        <f>I2370</f>
        <v>5400</v>
      </c>
      <c r="J2373" s="24"/>
      <c r="K2373" s="24"/>
      <c r="L2373" s="24"/>
      <c r="M2373" s="24"/>
      <c r="N2373" s="24"/>
    </row>
    <row r="2374" spans="1:14">
      <c r="A2374" s="2"/>
      <c r="B2374" s="2">
        <v>1000</v>
      </c>
      <c r="C2374" s="2"/>
      <c r="D2374" s="2">
        <v>7</v>
      </c>
      <c r="E2374" s="2" t="s">
        <v>5</v>
      </c>
      <c r="F2374" s="24">
        <f>C2363</f>
        <v>10000</v>
      </c>
      <c r="G2374" s="24">
        <f>B2363</f>
        <v>6500</v>
      </c>
      <c r="H2374" s="24">
        <f>F2374-1000</f>
        <v>9000</v>
      </c>
      <c r="I2374" s="24">
        <f>B2363+B2374</f>
        <v>7500</v>
      </c>
      <c r="J2374" s="24"/>
      <c r="K2374" s="24"/>
      <c r="L2374" s="24"/>
      <c r="M2374" s="24"/>
      <c r="N2374" s="24"/>
    </row>
    <row r="2375" spans="1:14">
      <c r="A2375" s="2"/>
      <c r="B2375" s="2">
        <v>2000</v>
      </c>
      <c r="C2375" s="2"/>
      <c r="D2375" s="2">
        <v>7</v>
      </c>
      <c r="E2375" s="2" t="s">
        <v>5</v>
      </c>
      <c r="F2375" s="24">
        <f>F2374</f>
        <v>10000</v>
      </c>
      <c r="G2375" s="24">
        <f>I2374</f>
        <v>7500</v>
      </c>
      <c r="H2375" s="24">
        <f>F2375-2000</f>
        <v>8000</v>
      </c>
      <c r="I2375" s="24">
        <f>G2375+B2375</f>
        <v>9500</v>
      </c>
      <c r="J2375" s="24"/>
      <c r="K2375" s="24"/>
      <c r="L2375" s="24"/>
      <c r="M2375" s="24"/>
      <c r="N2375" s="24"/>
    </row>
    <row r="2376" spans="1:14">
      <c r="A2376" s="2"/>
      <c r="B2376" s="2"/>
      <c r="C2376" s="2"/>
      <c r="D2376" s="2">
        <f>F2376*2+4</f>
        <v>8</v>
      </c>
      <c r="E2376" s="2" t="s">
        <v>1</v>
      </c>
      <c r="F2376" s="24">
        <v>2</v>
      </c>
      <c r="G2376" s="24">
        <f>I2374</f>
        <v>7500</v>
      </c>
      <c r="H2376" s="6">
        <f>F2374-100</f>
        <v>9900</v>
      </c>
      <c r="I2376" s="6">
        <f>G2376</f>
        <v>7500</v>
      </c>
      <c r="J2376" s="24">
        <f>H2376+200</f>
        <v>10100</v>
      </c>
      <c r="K2376" s="24"/>
      <c r="L2376" s="24"/>
      <c r="M2376" s="24"/>
      <c r="N2376" s="24"/>
    </row>
    <row r="2377" spans="1:14">
      <c r="D2377" s="2">
        <f>F2377*2+4</f>
        <v>8</v>
      </c>
      <c r="E2377" s="2" t="s">
        <v>1</v>
      </c>
      <c r="F2377" s="24">
        <v>2</v>
      </c>
      <c r="G2377" s="24">
        <f>I2375</f>
        <v>9500</v>
      </c>
      <c r="H2377" s="6">
        <f>F2375-100</f>
        <v>9900</v>
      </c>
      <c r="I2377" s="6">
        <f>G2377</f>
        <v>9500</v>
      </c>
      <c r="J2377" s="24">
        <f>H2377+200</f>
        <v>10100</v>
      </c>
      <c r="K2377" s="24"/>
      <c r="L2377" s="24"/>
    </row>
    <row r="2378" spans="1:14">
      <c r="D2378" s="2">
        <f>ROUNDUP(6+F2378/2,0)</f>
        <v>7</v>
      </c>
      <c r="E2378" s="2" t="s">
        <v>6</v>
      </c>
      <c r="F2378" s="24">
        <f>LEN(G2378)</f>
        <v>1</v>
      </c>
      <c r="G2378" s="24">
        <f>B2374/1000</f>
        <v>1</v>
      </c>
      <c r="H2378" s="24">
        <f>J2376</f>
        <v>10100</v>
      </c>
      <c r="I2378" s="24">
        <f>G2376-100</f>
        <v>7400</v>
      </c>
      <c r="K2378" s="24"/>
      <c r="L2378" s="24"/>
    </row>
    <row r="2379" spans="1:14">
      <c r="A2379" s="2"/>
      <c r="B2379" s="2"/>
      <c r="C2379" s="2"/>
      <c r="D2379" s="2">
        <f>ROUNDUP(6+F2379/2,0)</f>
        <v>7</v>
      </c>
      <c r="E2379" s="2" t="s">
        <v>6</v>
      </c>
      <c r="F2379" s="24">
        <f>LEN(G2379)</f>
        <v>1</v>
      </c>
      <c r="G2379" s="24">
        <f>G2378+B2375/1000</f>
        <v>3</v>
      </c>
      <c r="H2379" s="24">
        <f>H2378</f>
        <v>10100</v>
      </c>
      <c r="I2379" s="24">
        <f>G2377-100</f>
        <v>9400</v>
      </c>
      <c r="J2379" s="24"/>
      <c r="K2379" s="24"/>
      <c r="L2379" s="24"/>
      <c r="M2379" s="24"/>
      <c r="N2379" s="24"/>
    </row>
    <row r="2380" spans="1:14">
      <c r="A2380" s="2" t="s">
        <v>268</v>
      </c>
      <c r="B2380" s="2"/>
      <c r="C2380" s="2">
        <f>C2363-2300</f>
        <v>7700</v>
      </c>
      <c r="D2380" s="2">
        <v>18</v>
      </c>
      <c r="E2380" s="2" t="s">
        <v>111</v>
      </c>
      <c r="F2380" s="24">
        <v>200</v>
      </c>
      <c r="G2380" s="24">
        <f>B2363</f>
        <v>6500</v>
      </c>
      <c r="H2380" s="24">
        <f>C2380</f>
        <v>7700</v>
      </c>
      <c r="I2380" s="24">
        <f>B2363+B2374+B2375</f>
        <v>9500</v>
      </c>
      <c r="J2380" s="24">
        <f>H2380</f>
        <v>7700</v>
      </c>
      <c r="K2380" s="24"/>
      <c r="L2380" s="24"/>
      <c r="M2380" s="24"/>
      <c r="N2380" s="24"/>
    </row>
    <row r="2381" spans="1:14">
      <c r="A2381" s="2"/>
      <c r="B2381" s="2"/>
      <c r="C2381" s="2"/>
      <c r="D2381" s="2">
        <f>F2381*2+4</f>
        <v>10</v>
      </c>
      <c r="E2381" s="2" t="s">
        <v>4</v>
      </c>
      <c r="F2381" s="24">
        <v>3</v>
      </c>
      <c r="G2381" s="24">
        <f>G2380</f>
        <v>6500</v>
      </c>
      <c r="H2381" s="24">
        <f>C2380</f>
        <v>7700</v>
      </c>
      <c r="I2381" s="24">
        <f>G2381+200</f>
        <v>6700</v>
      </c>
      <c r="J2381" s="24">
        <f>H2381+100</f>
        <v>7800</v>
      </c>
      <c r="K2381" s="24">
        <f>I2381</f>
        <v>6700</v>
      </c>
      <c r="L2381" s="24">
        <f>J2381-200</f>
        <v>7600</v>
      </c>
      <c r="M2381" s="24"/>
      <c r="N2381" s="24"/>
    </row>
    <row r="2382" spans="1:14">
      <c r="A2382" s="2"/>
      <c r="B2382" s="2"/>
      <c r="C2382" s="2"/>
      <c r="D2382" s="2">
        <f>F2382*2+4</f>
        <v>12</v>
      </c>
      <c r="E2382" s="2" t="s">
        <v>4</v>
      </c>
      <c r="F2382" s="24">
        <v>4</v>
      </c>
      <c r="G2382" s="24">
        <f>B2363+B2374-200</f>
        <v>7300</v>
      </c>
      <c r="H2382" s="24">
        <f>C2380+100</f>
        <v>7800</v>
      </c>
      <c r="I2382" s="24">
        <f>G2382</f>
        <v>7300</v>
      </c>
      <c r="J2382" s="24">
        <f>H2382-200</f>
        <v>7600</v>
      </c>
      <c r="K2382" s="24">
        <f>I2382+400</f>
        <v>7700</v>
      </c>
      <c r="L2382" s="24">
        <f>H2382</f>
        <v>7800</v>
      </c>
      <c r="M2382" s="24">
        <f>K2382</f>
        <v>7700</v>
      </c>
      <c r="N2382" s="24">
        <f>J2382</f>
        <v>7600</v>
      </c>
    </row>
    <row r="2383" spans="1:14">
      <c r="A2383" s="2"/>
      <c r="B2383" s="2"/>
      <c r="C2383" s="2"/>
      <c r="D2383" s="2">
        <f>F2383*2+4</f>
        <v>8</v>
      </c>
      <c r="E2383" s="2" t="s">
        <v>1</v>
      </c>
      <c r="F2383" s="24">
        <v>2</v>
      </c>
      <c r="G2383" s="24">
        <f>G2376</f>
        <v>7500</v>
      </c>
      <c r="H2383" s="24">
        <f>C2380-200</f>
        <v>7500</v>
      </c>
      <c r="I2383" s="24">
        <f>I2376</f>
        <v>7500</v>
      </c>
      <c r="J2383" s="24">
        <f>H2383+400</f>
        <v>7900</v>
      </c>
      <c r="K2383" s="24"/>
      <c r="L2383" s="24"/>
      <c r="M2383" s="24"/>
      <c r="N2383" s="24"/>
    </row>
    <row r="2384" spans="1:14">
      <c r="A2384" s="2"/>
      <c r="B2384" s="2"/>
      <c r="C2384" s="2"/>
      <c r="D2384" s="2">
        <f>F2384*2+4</f>
        <v>8</v>
      </c>
      <c r="E2384" s="2" t="s">
        <v>1</v>
      </c>
      <c r="F2384" s="24">
        <v>2</v>
      </c>
      <c r="G2384" s="24">
        <f>G2383+B2375</f>
        <v>9500</v>
      </c>
      <c r="H2384" s="24">
        <f>H2383</f>
        <v>7500</v>
      </c>
      <c r="I2384" s="24">
        <f>G2384</f>
        <v>9500</v>
      </c>
      <c r="J2384" s="24">
        <f>J2383</f>
        <v>7900</v>
      </c>
      <c r="K2384" s="24"/>
      <c r="L2384" s="24"/>
      <c r="M2384" s="24"/>
      <c r="N2384" s="24"/>
    </row>
    <row r="2385" spans="1:14">
      <c r="A2385" s="2"/>
      <c r="B2385" s="2"/>
      <c r="C2385" s="2"/>
      <c r="D2385" s="2">
        <f>ROUNDUP(6+F2385/2,0)</f>
        <v>7</v>
      </c>
      <c r="E2385" s="2" t="s">
        <v>6</v>
      </c>
      <c r="F2385" s="24">
        <f>LEN(G2385)</f>
        <v>1</v>
      </c>
      <c r="G2385" s="24">
        <v>1</v>
      </c>
      <c r="H2385" s="24">
        <f>C2380-300</f>
        <v>7400</v>
      </c>
      <c r="I2385" s="24">
        <f>B2363+400</f>
        <v>6900</v>
      </c>
      <c r="J2385" s="24"/>
      <c r="K2385" s="24"/>
      <c r="L2385" s="24"/>
      <c r="M2385" s="24"/>
      <c r="N2385" s="24"/>
    </row>
    <row r="2386" spans="1:14">
      <c r="A2386" s="2"/>
      <c r="B2386" s="2"/>
      <c r="C2386" s="2"/>
      <c r="D2386" s="2">
        <f>ROUNDUP(6+F2386/2,0)</f>
        <v>7</v>
      </c>
      <c r="E2386" s="2" t="s">
        <v>6</v>
      </c>
      <c r="F2386" s="24">
        <f>LEN(G2386)</f>
        <v>2</v>
      </c>
      <c r="G2386" s="24" t="s">
        <v>267</v>
      </c>
      <c r="H2386" s="24">
        <f>C2380-300</f>
        <v>7400</v>
      </c>
      <c r="I2386" s="24">
        <f>I2385+B2374</f>
        <v>7900</v>
      </c>
      <c r="J2386" s="24"/>
      <c r="K2386" s="24"/>
      <c r="L2386" s="24"/>
      <c r="M2386" s="24"/>
      <c r="N2386" s="24"/>
    </row>
    <row r="2387" spans="1:14">
      <c r="A2387" s="2" t="s">
        <v>54</v>
      </c>
      <c r="B2387" s="2">
        <v>900</v>
      </c>
      <c r="C2387" s="2"/>
      <c r="D2387" s="2">
        <v>7</v>
      </c>
      <c r="E2387" s="2" t="s">
        <v>5</v>
      </c>
      <c r="F2387" s="24">
        <f t="shared" ref="F2387:H2388" si="143">F2374</f>
        <v>10000</v>
      </c>
      <c r="G2387" s="24">
        <f t="shared" si="143"/>
        <v>6500</v>
      </c>
      <c r="H2387" s="24">
        <f t="shared" si="143"/>
        <v>9000</v>
      </c>
      <c r="I2387" s="24">
        <f>G2387+B2387</f>
        <v>7400</v>
      </c>
      <c r="J2387" s="24"/>
      <c r="K2387" s="24"/>
      <c r="L2387" s="24"/>
      <c r="M2387" s="24"/>
      <c r="N2387" s="24"/>
    </row>
    <row r="2388" spans="1:14">
      <c r="A2388" s="2"/>
      <c r="B2388" s="2">
        <v>100</v>
      </c>
      <c r="C2388" s="2"/>
      <c r="D2388" s="2">
        <v>7</v>
      </c>
      <c r="E2388" s="2" t="s">
        <v>5</v>
      </c>
      <c r="F2388" s="24">
        <f t="shared" si="143"/>
        <v>10000</v>
      </c>
      <c r="G2388" s="24">
        <f t="shared" si="143"/>
        <v>7500</v>
      </c>
      <c r="H2388" s="24">
        <f t="shared" si="143"/>
        <v>8000</v>
      </c>
      <c r="I2388" s="24">
        <f>G2388+B2388</f>
        <v>7600</v>
      </c>
      <c r="J2388" s="24"/>
      <c r="K2388" s="24"/>
      <c r="L2388" s="24"/>
      <c r="M2388" s="24"/>
      <c r="N2388" s="24"/>
    </row>
    <row r="2389" spans="1:14">
      <c r="A2389" s="2"/>
      <c r="B2389" s="2"/>
      <c r="C2389" s="2"/>
      <c r="D2389" s="2">
        <f>F2389*2+4</f>
        <v>8</v>
      </c>
      <c r="E2389" s="2" t="s">
        <v>1</v>
      </c>
      <c r="F2389" s="24">
        <v>2</v>
      </c>
      <c r="G2389" s="24">
        <f>I2387</f>
        <v>7400</v>
      </c>
      <c r="H2389" s="6">
        <f>F2387-100</f>
        <v>9900</v>
      </c>
      <c r="I2389" s="6">
        <f>G2389</f>
        <v>7400</v>
      </c>
      <c r="J2389" s="24">
        <f>H2389+200</f>
        <v>10100</v>
      </c>
      <c r="K2389" s="24"/>
      <c r="L2389" s="24"/>
      <c r="M2389" s="24"/>
      <c r="N2389" s="24"/>
    </row>
    <row r="2390" spans="1:14">
      <c r="A2390" s="2"/>
      <c r="B2390" s="2"/>
      <c r="C2390" s="2"/>
      <c r="D2390" s="2">
        <f>F2390*2+4</f>
        <v>8</v>
      </c>
      <c r="E2390" s="2" t="s">
        <v>1</v>
      </c>
      <c r="F2390" s="24">
        <v>2</v>
      </c>
      <c r="G2390" s="24">
        <f>I2388</f>
        <v>7600</v>
      </c>
      <c r="H2390" s="6">
        <f>F2388-100</f>
        <v>9900</v>
      </c>
      <c r="I2390" s="6">
        <f>G2390</f>
        <v>7600</v>
      </c>
      <c r="J2390" s="24">
        <f>H2390+200</f>
        <v>10100</v>
      </c>
      <c r="K2390" s="24"/>
      <c r="L2390" s="24"/>
      <c r="M2390" s="24"/>
      <c r="N2390" s="24"/>
    </row>
    <row r="2391" spans="1:14">
      <c r="A2391" s="2"/>
      <c r="B2391" s="2"/>
      <c r="C2391" s="2"/>
      <c r="D2391" s="2">
        <f>ROUNDUP(6+F2391/2,0)</f>
        <v>9</v>
      </c>
      <c r="E2391" s="2" t="s">
        <v>6</v>
      </c>
      <c r="F2391" s="24">
        <f>LEN(G2391)</f>
        <v>5</v>
      </c>
      <c r="G2391" s="24" t="s">
        <v>281</v>
      </c>
      <c r="H2391" s="24">
        <f>C2363-2000</f>
        <v>8000</v>
      </c>
      <c r="I2391" s="24">
        <f>B2363+100</f>
        <v>6600</v>
      </c>
      <c r="J2391" s="24"/>
      <c r="K2391" s="24"/>
      <c r="L2391" s="24"/>
      <c r="M2391" s="24"/>
      <c r="N2391" s="24"/>
    </row>
    <row r="2392" spans="1:14">
      <c r="A2392" s="2"/>
      <c r="B2392" s="2"/>
      <c r="C2392" s="2"/>
      <c r="D2392" s="2">
        <f>ROUNDUP(6+F2392/2,0)</f>
        <v>8</v>
      </c>
      <c r="E2392" s="2" t="s">
        <v>6</v>
      </c>
      <c r="F2392" s="24">
        <f>LEN(G2392)</f>
        <v>4</v>
      </c>
      <c r="G2392" s="24" t="s">
        <v>282</v>
      </c>
      <c r="H2392" s="24">
        <f>H2391+300</f>
        <v>8300</v>
      </c>
      <c r="I2392" s="24">
        <f>I2391</f>
        <v>6600</v>
      </c>
      <c r="J2392" s="24"/>
      <c r="K2392" s="24"/>
      <c r="L2392" s="24"/>
      <c r="M2392" s="24"/>
      <c r="N2392" s="24"/>
    </row>
    <row r="2393" spans="1:14">
      <c r="A2393" s="2" t="s">
        <v>272</v>
      </c>
      <c r="B2393" s="2">
        <v>2100</v>
      </c>
      <c r="C2393" s="2"/>
      <c r="D2393" s="2">
        <f>F2393*2+4</f>
        <v>12</v>
      </c>
      <c r="E2393" s="2" t="s">
        <v>4</v>
      </c>
      <c r="F2393" s="24">
        <v>4</v>
      </c>
      <c r="G2393" s="24">
        <f>B2393-200+B2363</f>
        <v>8400</v>
      </c>
      <c r="H2393" s="24">
        <f>C2380+100</f>
        <v>7800</v>
      </c>
      <c r="I2393" s="24">
        <f>G2393</f>
        <v>8400</v>
      </c>
      <c r="J2393" s="24">
        <f>H2393-200</f>
        <v>7600</v>
      </c>
      <c r="K2393" s="24">
        <f>I2393+400</f>
        <v>8800</v>
      </c>
      <c r="L2393" s="24">
        <f>H2393</f>
        <v>7800</v>
      </c>
      <c r="M2393" s="24">
        <f>K2393</f>
        <v>8800</v>
      </c>
      <c r="N2393" s="24">
        <f>J2393</f>
        <v>7600</v>
      </c>
    </row>
    <row r="2394" spans="1:14">
      <c r="A2394" s="2"/>
      <c r="B2394" s="2"/>
      <c r="C2394" s="2"/>
      <c r="D2394" s="2">
        <f>F2394*2+4</f>
        <v>8</v>
      </c>
      <c r="E2394" s="2" t="s">
        <v>1</v>
      </c>
      <c r="F2394" s="24">
        <v>2</v>
      </c>
      <c r="G2394" s="24">
        <f>G2393+200</f>
        <v>8600</v>
      </c>
      <c r="H2394" s="24">
        <f>H2393+100</f>
        <v>7900</v>
      </c>
      <c r="I2394" s="24">
        <f>G2394</f>
        <v>8600</v>
      </c>
      <c r="J2394" s="24">
        <f>J2393-100</f>
        <v>7500</v>
      </c>
      <c r="K2394" s="24"/>
      <c r="L2394" s="24"/>
      <c r="M2394" s="24"/>
      <c r="N2394" s="24"/>
    </row>
    <row r="2395" spans="1:14">
      <c r="A2395" s="2"/>
      <c r="B2395" s="2"/>
      <c r="C2395" s="2"/>
      <c r="D2395" s="2">
        <f>ROUNDUP(6+F2395/2,0)</f>
        <v>7</v>
      </c>
      <c r="E2395" s="2" t="s">
        <v>6</v>
      </c>
      <c r="F2395" s="24">
        <f>LEN(G2395)</f>
        <v>2</v>
      </c>
      <c r="G2395" s="24" t="s">
        <v>273</v>
      </c>
      <c r="H2395" s="24">
        <f>H2393-400</f>
        <v>7400</v>
      </c>
      <c r="I2395" s="24">
        <f>G2393+600</f>
        <v>9000</v>
      </c>
      <c r="J2395" s="24"/>
      <c r="K2395" s="24"/>
      <c r="L2395" s="24"/>
      <c r="M2395" s="24"/>
      <c r="N2395" s="24"/>
    </row>
    <row r="2396" spans="1:14">
      <c r="A2396" s="2" t="s">
        <v>276</v>
      </c>
      <c r="B2396" s="2"/>
      <c r="C2396" s="2"/>
      <c r="D2396" s="2">
        <f>F2396*2+4</f>
        <v>8</v>
      </c>
      <c r="E2396" s="2" t="s">
        <v>1</v>
      </c>
      <c r="F2396" s="24">
        <v>2</v>
      </c>
      <c r="G2396" s="24">
        <f>G2394</f>
        <v>8600</v>
      </c>
      <c r="H2396" s="24">
        <f>H2376</f>
        <v>9900</v>
      </c>
      <c r="I2396" s="24">
        <f>G2396</f>
        <v>8600</v>
      </c>
      <c r="J2396" s="24">
        <f>J2376</f>
        <v>10100</v>
      </c>
      <c r="K2396" s="24"/>
      <c r="L2396" s="24"/>
      <c r="M2396" s="24"/>
      <c r="N2396" s="24"/>
    </row>
    <row r="2397" spans="1:14">
      <c r="A2397" s="2"/>
      <c r="B2397" s="2"/>
      <c r="C2397" s="2"/>
      <c r="D2397" s="2">
        <f>ROUNDUP(6+F2397/2,0)</f>
        <v>8</v>
      </c>
      <c r="E2397" s="2" t="s">
        <v>6</v>
      </c>
      <c r="F2397" s="24">
        <f>LEN(G2397)</f>
        <v>3</v>
      </c>
      <c r="G2397" s="24">
        <v>2.1</v>
      </c>
      <c r="H2397" s="24">
        <f>J2396</f>
        <v>10100</v>
      </c>
      <c r="I2397" s="24">
        <f>G2396-100</f>
        <v>8500</v>
      </c>
      <c r="J2397" s="24"/>
      <c r="K2397" s="24"/>
      <c r="L2397" s="24"/>
      <c r="M2397" s="24"/>
      <c r="N2397" s="24"/>
    </row>
    <row r="2398" spans="1:14">
      <c r="A2398" t="s">
        <v>266</v>
      </c>
      <c r="B2398" t="s">
        <v>2</v>
      </c>
      <c r="C2398" t="s">
        <v>3</v>
      </c>
      <c r="D2398" s="2">
        <v>18</v>
      </c>
      <c r="E2398" s="2" t="s">
        <v>111</v>
      </c>
      <c r="F2398" s="24">
        <v>200</v>
      </c>
      <c r="G2398" s="24">
        <f>B2399-200</f>
        <v>6300</v>
      </c>
      <c r="H2398" s="24">
        <f>C2399</f>
        <v>6500</v>
      </c>
      <c r="I2398" s="24">
        <f>G2398+600+B2410+B2411</f>
        <v>10700</v>
      </c>
      <c r="J2398" s="24">
        <f>C2399</f>
        <v>6500</v>
      </c>
      <c r="K2398" s="24"/>
      <c r="L2398" s="24"/>
    </row>
    <row r="2399" spans="1:14">
      <c r="B2399">
        <v>6500</v>
      </c>
      <c r="C2399">
        <v>6500</v>
      </c>
      <c r="D2399" s="2">
        <v>18</v>
      </c>
      <c r="E2399" s="2" t="s">
        <v>111</v>
      </c>
      <c r="F2399" s="24">
        <v>200</v>
      </c>
      <c r="G2399" s="24">
        <f>B2399</f>
        <v>6500</v>
      </c>
      <c r="H2399" s="24">
        <f>C2399+200</f>
        <v>6700</v>
      </c>
      <c r="I2399" s="24">
        <f>G2399</f>
        <v>6500</v>
      </c>
      <c r="J2399" s="24">
        <f>H2399-3000</f>
        <v>3700</v>
      </c>
      <c r="K2399" s="24"/>
      <c r="L2399" s="24"/>
    </row>
    <row r="2400" spans="1:14">
      <c r="D2400" s="2">
        <f>ROUNDUP(6+F2400/2,0)</f>
        <v>7</v>
      </c>
      <c r="E2400" s="2" t="s">
        <v>6</v>
      </c>
      <c r="F2400" s="24">
        <f>LEN(G2400)</f>
        <v>1</v>
      </c>
      <c r="G2400" s="24" t="s">
        <v>42</v>
      </c>
      <c r="H2400" s="24">
        <f>J2399-150</f>
        <v>3550</v>
      </c>
      <c r="I2400" s="24">
        <f>G2399+200</f>
        <v>6700</v>
      </c>
      <c r="J2400" s="24"/>
      <c r="K2400" s="24"/>
      <c r="L2400" s="24"/>
      <c r="M2400" s="24"/>
      <c r="N2400" s="24"/>
    </row>
    <row r="2401" spans="1:14">
      <c r="D2401" s="2">
        <f>ROUNDUP(6+F2401/2,0)</f>
        <v>7</v>
      </c>
      <c r="E2401" s="2" t="s">
        <v>6</v>
      </c>
      <c r="F2401" s="24">
        <f>LEN(G2401)</f>
        <v>1</v>
      </c>
      <c r="G2401" s="24" t="s">
        <v>22</v>
      </c>
      <c r="H2401" s="24">
        <f>H2398-150</f>
        <v>6350</v>
      </c>
      <c r="I2401" s="24">
        <f>I2398+100</f>
        <v>10800</v>
      </c>
      <c r="J2401" s="24"/>
      <c r="K2401" s="24"/>
      <c r="L2401" s="24"/>
    </row>
    <row r="2402" spans="1:14">
      <c r="A2402" s="2"/>
      <c r="B2402" s="2"/>
      <c r="C2402" s="2"/>
      <c r="D2402" s="2">
        <f>F2402*2+4</f>
        <v>8</v>
      </c>
      <c r="E2402" s="2" t="s">
        <v>1</v>
      </c>
      <c r="F2402" s="24">
        <v>2</v>
      </c>
      <c r="G2402" s="24">
        <f>B2399-100</f>
        <v>6400</v>
      </c>
      <c r="H2402" s="24">
        <f>C2399-1000</f>
        <v>5500</v>
      </c>
      <c r="I2402" s="24">
        <f>B2399+100</f>
        <v>6600</v>
      </c>
      <c r="J2402" s="24">
        <f>H2402</f>
        <v>5500</v>
      </c>
      <c r="K2402" s="24"/>
      <c r="L2402" s="24"/>
      <c r="M2402" s="24"/>
      <c r="N2402" s="24"/>
    </row>
    <row r="2403" spans="1:14">
      <c r="A2403" s="2"/>
      <c r="B2403" s="2"/>
      <c r="C2403" s="2"/>
      <c r="D2403" s="2">
        <f>F2403*2+4</f>
        <v>8</v>
      </c>
      <c r="E2403" s="2" t="s">
        <v>1</v>
      </c>
      <c r="F2403" s="24">
        <v>2</v>
      </c>
      <c r="G2403" s="24">
        <f>G2402</f>
        <v>6400</v>
      </c>
      <c r="H2403" s="24">
        <f>C2399-2000</f>
        <v>4500</v>
      </c>
      <c r="I2403" s="24">
        <f>I2402</f>
        <v>6600</v>
      </c>
      <c r="J2403" s="24">
        <f>H2403</f>
        <v>4500</v>
      </c>
      <c r="K2403" s="24"/>
      <c r="L2403" s="24"/>
      <c r="M2403" s="24"/>
      <c r="N2403" s="24"/>
    </row>
    <row r="2404" spans="1:14">
      <c r="A2404" s="2"/>
      <c r="B2404" s="2"/>
      <c r="C2404" s="2"/>
      <c r="D2404" s="2">
        <f>ROUNDUP(6+F2404/2,0)</f>
        <v>7</v>
      </c>
      <c r="E2404" s="2" t="s">
        <v>6</v>
      </c>
      <c r="F2404" s="24">
        <f>LEN(G2404)</f>
        <v>1</v>
      </c>
      <c r="G2404" s="24">
        <v>1</v>
      </c>
      <c r="H2404" s="24">
        <f>H2402-150</f>
        <v>5350</v>
      </c>
      <c r="I2404" s="24">
        <f>G2402-200</f>
        <v>6200</v>
      </c>
      <c r="K2404" s="24"/>
      <c r="L2404" s="24"/>
      <c r="M2404" s="24"/>
      <c r="N2404" s="24"/>
    </row>
    <row r="2405" spans="1:14">
      <c r="A2405" s="2"/>
      <c r="B2405" s="2"/>
      <c r="C2405" s="2"/>
      <c r="D2405" s="2">
        <f>ROUNDUP(6+F2405/2,0)</f>
        <v>7</v>
      </c>
      <c r="E2405" s="2" t="s">
        <v>6</v>
      </c>
      <c r="F2405" s="24">
        <f>LEN(G2405)</f>
        <v>1</v>
      </c>
      <c r="G2405" s="24">
        <v>2</v>
      </c>
      <c r="H2405" s="24">
        <f>H2403-150</f>
        <v>4350</v>
      </c>
      <c r="I2405" s="24">
        <f>I2404</f>
        <v>6200</v>
      </c>
      <c r="J2405" s="24"/>
      <c r="K2405" s="24"/>
      <c r="L2405" s="24"/>
      <c r="M2405" s="24"/>
      <c r="N2405" s="24"/>
    </row>
    <row r="2406" spans="1:14">
      <c r="A2406" s="2"/>
      <c r="B2406" s="2"/>
      <c r="C2406" s="2"/>
      <c r="D2406" s="2">
        <f>ROUNDUP(6+F2406/2,0)</f>
        <v>9</v>
      </c>
      <c r="E2406" s="2" t="s">
        <v>6</v>
      </c>
      <c r="F2406" s="24">
        <f>LEN(G2406)</f>
        <v>5</v>
      </c>
      <c r="G2406" s="24" t="s">
        <v>284</v>
      </c>
      <c r="H2406" s="24">
        <f>H2405+300</f>
        <v>4650</v>
      </c>
      <c r="I2406" s="24">
        <f>I2405-800</f>
        <v>5400</v>
      </c>
      <c r="J2406" s="24"/>
      <c r="K2406" s="24"/>
      <c r="L2406" s="24"/>
      <c r="M2406" s="24"/>
      <c r="N2406" s="24"/>
    </row>
    <row r="2407" spans="1:14">
      <c r="A2407" s="2"/>
      <c r="B2407" s="2"/>
      <c r="C2407" s="2"/>
      <c r="D2407" s="2">
        <f>ROUNDUP(6+F2407/2,0)</f>
        <v>8</v>
      </c>
      <c r="E2407" s="2" t="s">
        <v>6</v>
      </c>
      <c r="F2407" s="24">
        <f>LEN(G2407)</f>
        <v>4</v>
      </c>
      <c r="G2407" s="40" t="s">
        <v>275</v>
      </c>
      <c r="H2407" s="24">
        <f>H2406+300</f>
        <v>4950</v>
      </c>
      <c r="I2407" s="24">
        <f>I2406</f>
        <v>5400</v>
      </c>
      <c r="J2407" s="24"/>
      <c r="K2407" s="24"/>
      <c r="L2407" s="24"/>
      <c r="M2407" s="24"/>
      <c r="N2407" s="24"/>
    </row>
    <row r="2408" spans="1:14">
      <c r="A2408" s="2"/>
      <c r="B2408" s="2"/>
      <c r="C2408" s="2"/>
      <c r="D2408" s="2">
        <v>7</v>
      </c>
      <c r="E2408" s="2" t="s">
        <v>0</v>
      </c>
      <c r="F2408" s="24">
        <f>H2408+400</f>
        <v>4600</v>
      </c>
      <c r="G2408" s="24">
        <f>I2408+400</f>
        <v>5800</v>
      </c>
      <c r="H2408" s="24">
        <f>H2409-50</f>
        <v>4200</v>
      </c>
      <c r="I2408" s="24">
        <f>I2407</f>
        <v>5400</v>
      </c>
      <c r="J2408" s="24"/>
      <c r="K2408" s="24"/>
      <c r="L2408" s="24"/>
      <c r="M2408" s="24"/>
      <c r="N2408" s="24"/>
    </row>
    <row r="2409" spans="1:14">
      <c r="A2409" s="2"/>
      <c r="B2409" s="2"/>
      <c r="C2409" s="2"/>
      <c r="D2409" s="2">
        <f>ROUNDUP(6+F2409/2,0)</f>
        <v>7</v>
      </c>
      <c r="E2409" s="2" t="s">
        <v>6</v>
      </c>
      <c r="F2409" s="24">
        <f>LEN(G2409)</f>
        <v>1</v>
      </c>
      <c r="G2409" s="40">
        <v>5</v>
      </c>
      <c r="H2409" s="24">
        <f>H2406-400</f>
        <v>4250</v>
      </c>
      <c r="I2409" s="24">
        <f>I2407+128</f>
        <v>5528</v>
      </c>
      <c r="J2409" s="24"/>
      <c r="K2409" s="24"/>
      <c r="L2409" s="24"/>
      <c r="M2409" s="24"/>
      <c r="N2409" s="24"/>
    </row>
    <row r="2410" spans="1:14">
      <c r="A2410" s="2"/>
      <c r="B2410" s="2">
        <v>1000</v>
      </c>
      <c r="C2410" s="2"/>
      <c r="D2410" s="2">
        <v>7</v>
      </c>
      <c r="E2410" s="2" t="s">
        <v>5</v>
      </c>
      <c r="F2410" s="24">
        <f>C2399</f>
        <v>6500</v>
      </c>
      <c r="G2410" s="24">
        <f>B2399</f>
        <v>6500</v>
      </c>
      <c r="H2410" s="24">
        <f>F2410-1000</f>
        <v>5500</v>
      </c>
      <c r="I2410" s="24">
        <f>B2399+B2410</f>
        <v>7500</v>
      </c>
      <c r="J2410" s="24"/>
      <c r="K2410" s="24"/>
      <c r="L2410" s="24"/>
      <c r="M2410" s="24"/>
      <c r="N2410" s="24"/>
    </row>
    <row r="2411" spans="1:14">
      <c r="A2411" s="2"/>
      <c r="B2411" s="2">
        <v>2800</v>
      </c>
      <c r="C2411" s="2"/>
      <c r="D2411" s="2">
        <v>7</v>
      </c>
      <c r="E2411" s="2" t="s">
        <v>5</v>
      </c>
      <c r="F2411" s="24">
        <f>F2410</f>
        <v>6500</v>
      </c>
      <c r="G2411" s="24">
        <f>I2410</f>
        <v>7500</v>
      </c>
      <c r="H2411" s="24">
        <f>F2411-2000</f>
        <v>4500</v>
      </c>
      <c r="I2411" s="24">
        <f>G2411+B2411</f>
        <v>10300</v>
      </c>
      <c r="J2411" s="24"/>
      <c r="K2411" s="24"/>
      <c r="L2411" s="24"/>
      <c r="M2411" s="24"/>
      <c r="N2411" s="24"/>
    </row>
    <row r="2412" spans="1:14">
      <c r="A2412" s="2"/>
      <c r="B2412" s="2"/>
      <c r="C2412" s="2"/>
      <c r="D2412" s="2">
        <f>F2412*2+4</f>
        <v>8</v>
      </c>
      <c r="E2412" s="2" t="s">
        <v>1</v>
      </c>
      <c r="F2412" s="24">
        <v>2</v>
      </c>
      <c r="G2412" s="24">
        <f>I2410</f>
        <v>7500</v>
      </c>
      <c r="H2412" s="6">
        <f>F2410-100</f>
        <v>6400</v>
      </c>
      <c r="I2412" s="6">
        <f>G2412</f>
        <v>7500</v>
      </c>
      <c r="J2412" s="24">
        <f>H2412+200</f>
        <v>6600</v>
      </c>
      <c r="K2412" s="24"/>
      <c r="L2412" s="24"/>
      <c r="M2412" s="24"/>
      <c r="N2412" s="24"/>
    </row>
    <row r="2413" spans="1:14">
      <c r="D2413" s="2">
        <f>F2413*2+4</f>
        <v>8</v>
      </c>
      <c r="E2413" s="2" t="s">
        <v>1</v>
      </c>
      <c r="F2413" s="24">
        <v>2</v>
      </c>
      <c r="G2413" s="24">
        <f>I2411</f>
        <v>10300</v>
      </c>
      <c r="H2413" s="6">
        <f>F2411-100</f>
        <v>6400</v>
      </c>
      <c r="I2413" s="6">
        <f>G2413</f>
        <v>10300</v>
      </c>
      <c r="J2413" s="24">
        <f>H2413+200</f>
        <v>6600</v>
      </c>
      <c r="K2413" s="24"/>
      <c r="L2413" s="24"/>
    </row>
    <row r="2414" spans="1:14">
      <c r="D2414" s="2">
        <f>ROUNDUP(6+F2414/2,0)</f>
        <v>7</v>
      </c>
      <c r="E2414" s="2" t="s">
        <v>6</v>
      </c>
      <c r="F2414" s="24">
        <f>LEN(G2414)</f>
        <v>1</v>
      </c>
      <c r="G2414" s="24">
        <f>B2410/1000</f>
        <v>1</v>
      </c>
      <c r="H2414" s="24">
        <f>J2412</f>
        <v>6600</v>
      </c>
      <c r="I2414" s="24">
        <f>G2412-100</f>
        <v>7400</v>
      </c>
      <c r="K2414" s="24"/>
      <c r="L2414" s="24"/>
    </row>
    <row r="2415" spans="1:14">
      <c r="A2415" s="2"/>
      <c r="B2415" s="2"/>
      <c r="C2415" s="2"/>
      <c r="D2415" s="2">
        <f>ROUNDUP(6+F2415/2,0)</f>
        <v>8</v>
      </c>
      <c r="E2415" s="2" t="s">
        <v>6</v>
      </c>
      <c r="F2415" s="24">
        <f>LEN(G2415)</f>
        <v>3</v>
      </c>
      <c r="G2415" s="24">
        <f>G2414+B2411/1000</f>
        <v>3.8</v>
      </c>
      <c r="H2415" s="24">
        <f>H2414</f>
        <v>6600</v>
      </c>
      <c r="I2415" s="24">
        <f>G2413-100</f>
        <v>10200</v>
      </c>
      <c r="J2415" s="24"/>
      <c r="K2415" s="24"/>
      <c r="L2415" s="24"/>
      <c r="M2415" s="24"/>
      <c r="N2415" s="24"/>
    </row>
    <row r="2416" spans="1:14">
      <c r="A2416" s="2" t="s">
        <v>268</v>
      </c>
      <c r="B2416" s="2"/>
      <c r="C2416" s="2">
        <f>C2399-2300</f>
        <v>4200</v>
      </c>
      <c r="D2416" s="2">
        <v>18</v>
      </c>
      <c r="E2416" s="2" t="s">
        <v>111</v>
      </c>
      <c r="F2416" s="24">
        <v>200</v>
      </c>
      <c r="G2416" s="24">
        <f>B2399</f>
        <v>6500</v>
      </c>
      <c r="H2416" s="24">
        <f>C2416</f>
        <v>4200</v>
      </c>
      <c r="I2416" s="24">
        <f>B2399+B2410+B2411</f>
        <v>10300</v>
      </c>
      <c r="J2416" s="24">
        <f>H2416</f>
        <v>4200</v>
      </c>
      <c r="K2416" s="24"/>
      <c r="L2416" s="24"/>
      <c r="M2416" s="24"/>
      <c r="N2416" s="24"/>
    </row>
    <row r="2417" spans="1:14">
      <c r="A2417" s="2"/>
      <c r="B2417" s="2"/>
      <c r="C2417" s="2"/>
      <c r="D2417" s="2">
        <f>F2417*2+4</f>
        <v>10</v>
      </c>
      <c r="E2417" s="2" t="s">
        <v>4</v>
      </c>
      <c r="F2417" s="24">
        <v>3</v>
      </c>
      <c r="G2417" s="24">
        <f>G2416</f>
        <v>6500</v>
      </c>
      <c r="H2417" s="24">
        <f>C2416</f>
        <v>4200</v>
      </c>
      <c r="I2417" s="24">
        <f>G2417+200</f>
        <v>6700</v>
      </c>
      <c r="J2417" s="24">
        <f>H2417+100</f>
        <v>4300</v>
      </c>
      <c r="K2417" s="24">
        <f>I2417</f>
        <v>6700</v>
      </c>
      <c r="L2417" s="24">
        <f>J2417-200</f>
        <v>4100</v>
      </c>
      <c r="M2417" s="24"/>
      <c r="N2417" s="24"/>
    </row>
    <row r="2418" spans="1:14">
      <c r="A2418" s="2"/>
      <c r="B2418" s="2"/>
      <c r="C2418" s="2"/>
      <c r="D2418" s="2">
        <f>F2418*2+4</f>
        <v>12</v>
      </c>
      <c r="E2418" s="2" t="s">
        <v>4</v>
      </c>
      <c r="F2418" s="24">
        <v>4</v>
      </c>
      <c r="G2418" s="24">
        <f>B2399+B2410-200</f>
        <v>7300</v>
      </c>
      <c r="H2418" s="24">
        <f>C2416+100</f>
        <v>4300</v>
      </c>
      <c r="I2418" s="24">
        <f>G2418</f>
        <v>7300</v>
      </c>
      <c r="J2418" s="24">
        <f>H2418-200</f>
        <v>4100</v>
      </c>
      <c r="K2418" s="24">
        <f>I2418+400</f>
        <v>7700</v>
      </c>
      <c r="L2418" s="24">
        <f>H2418</f>
        <v>4300</v>
      </c>
      <c r="M2418" s="24">
        <f>K2418</f>
        <v>7700</v>
      </c>
      <c r="N2418" s="24">
        <f>J2418</f>
        <v>4100</v>
      </c>
    </row>
    <row r="2419" spans="1:14">
      <c r="A2419" s="2"/>
      <c r="B2419" s="2"/>
      <c r="C2419" s="2"/>
      <c r="D2419" s="2">
        <f>F2419*2+4</f>
        <v>8</v>
      </c>
      <c r="E2419" s="2" t="s">
        <v>1</v>
      </c>
      <c r="F2419" s="24">
        <v>2</v>
      </c>
      <c r="G2419" s="24">
        <f>G2412</f>
        <v>7500</v>
      </c>
      <c r="H2419" s="24">
        <f>C2416-200</f>
        <v>4000</v>
      </c>
      <c r="I2419" s="24">
        <f>I2412</f>
        <v>7500</v>
      </c>
      <c r="J2419" s="24">
        <f>H2419+400</f>
        <v>4400</v>
      </c>
      <c r="K2419" s="24"/>
      <c r="L2419" s="24"/>
      <c r="M2419" s="24"/>
      <c r="N2419" s="24"/>
    </row>
    <row r="2420" spans="1:14">
      <c r="A2420" s="2"/>
      <c r="B2420" s="2"/>
      <c r="C2420" s="2"/>
      <c r="D2420" s="2">
        <f>F2420*2+4</f>
        <v>8</v>
      </c>
      <c r="E2420" s="2" t="s">
        <v>1</v>
      </c>
      <c r="F2420" s="24">
        <v>2</v>
      </c>
      <c r="G2420" s="24">
        <f>G2419+B2411</f>
        <v>10300</v>
      </c>
      <c r="H2420" s="24">
        <f>H2419</f>
        <v>4000</v>
      </c>
      <c r="I2420" s="24">
        <f>G2420</f>
        <v>10300</v>
      </c>
      <c r="J2420" s="24">
        <f>J2419</f>
        <v>4400</v>
      </c>
      <c r="K2420" s="24"/>
      <c r="L2420" s="24"/>
      <c r="M2420" s="24"/>
      <c r="N2420" s="24"/>
    </row>
    <row r="2421" spans="1:14">
      <c r="A2421" s="2"/>
      <c r="B2421" s="2"/>
      <c r="C2421" s="2"/>
      <c r="D2421" s="2">
        <f>ROUNDUP(6+F2421/2,0)</f>
        <v>7</v>
      </c>
      <c r="E2421" s="2" t="s">
        <v>6</v>
      </c>
      <c r="F2421" s="24">
        <f>LEN(G2421)</f>
        <v>1</v>
      </c>
      <c r="G2421" s="24">
        <v>1</v>
      </c>
      <c r="H2421" s="24">
        <f>C2416-300</f>
        <v>3900</v>
      </c>
      <c r="I2421" s="24">
        <f>B2399+400</f>
        <v>6900</v>
      </c>
      <c r="J2421" s="24"/>
      <c r="K2421" s="24"/>
      <c r="L2421" s="24"/>
      <c r="M2421" s="24"/>
      <c r="N2421" s="24"/>
    </row>
    <row r="2422" spans="1:14">
      <c r="A2422" s="2"/>
      <c r="B2422" s="2"/>
      <c r="C2422" s="2"/>
      <c r="D2422" s="2">
        <f>ROUNDUP(6+F2422/2,0)</f>
        <v>7</v>
      </c>
      <c r="E2422" s="2" t="s">
        <v>6</v>
      </c>
      <c r="F2422" s="24">
        <f>LEN(G2422)</f>
        <v>1</v>
      </c>
      <c r="G2422" s="24">
        <v>1</v>
      </c>
      <c r="H2422" s="24">
        <f>C2416-300</f>
        <v>3900</v>
      </c>
      <c r="I2422" s="24">
        <f>I2421+B2410</f>
        <v>7900</v>
      </c>
      <c r="J2422" s="24"/>
      <c r="K2422" s="24"/>
      <c r="L2422" s="24"/>
      <c r="M2422" s="24"/>
      <c r="N2422" s="24"/>
    </row>
    <row r="2423" spans="1:14">
      <c r="A2423" s="2" t="s">
        <v>54</v>
      </c>
      <c r="B2423" s="2">
        <v>900</v>
      </c>
      <c r="C2423" s="2"/>
      <c r="D2423" s="2">
        <v>7</v>
      </c>
      <c r="E2423" s="2" t="s">
        <v>5</v>
      </c>
      <c r="F2423" s="24">
        <f t="shared" ref="F2423:H2424" si="144">F2410</f>
        <v>6500</v>
      </c>
      <c r="G2423" s="24">
        <f t="shared" si="144"/>
        <v>6500</v>
      </c>
      <c r="H2423" s="24">
        <f t="shared" si="144"/>
        <v>5500</v>
      </c>
      <c r="I2423" s="24">
        <f>G2423+B2423</f>
        <v>7400</v>
      </c>
      <c r="J2423" s="24"/>
      <c r="K2423" s="24"/>
      <c r="L2423" s="24"/>
      <c r="M2423" s="24"/>
      <c r="N2423" s="24"/>
    </row>
    <row r="2424" spans="1:14">
      <c r="A2424" s="2"/>
      <c r="B2424" s="2">
        <v>900</v>
      </c>
      <c r="C2424" s="2"/>
      <c r="D2424" s="2">
        <v>7</v>
      </c>
      <c r="E2424" s="2" t="s">
        <v>5</v>
      </c>
      <c r="F2424" s="24">
        <f t="shared" si="144"/>
        <v>6500</v>
      </c>
      <c r="G2424" s="24">
        <f t="shared" si="144"/>
        <v>7500</v>
      </c>
      <c r="H2424" s="24">
        <f t="shared" si="144"/>
        <v>4500</v>
      </c>
      <c r="I2424" s="24">
        <f>G2424+B2424</f>
        <v>8400</v>
      </c>
      <c r="J2424" s="24"/>
      <c r="K2424" s="24"/>
      <c r="L2424" s="24"/>
      <c r="M2424" s="24"/>
      <c r="N2424" s="24"/>
    </row>
    <row r="2425" spans="1:14">
      <c r="A2425" s="2"/>
      <c r="B2425" s="2"/>
      <c r="C2425" s="2"/>
      <c r="D2425" s="2">
        <f>F2425*2+4</f>
        <v>8</v>
      </c>
      <c r="E2425" s="2" t="s">
        <v>1</v>
      </c>
      <c r="F2425" s="24">
        <v>2</v>
      </c>
      <c r="G2425" s="24">
        <f>I2423</f>
        <v>7400</v>
      </c>
      <c r="H2425" s="6">
        <f>F2423-100</f>
        <v>6400</v>
      </c>
      <c r="I2425" s="6">
        <f>G2425</f>
        <v>7400</v>
      </c>
      <c r="J2425" s="24">
        <f>H2425+200</f>
        <v>6600</v>
      </c>
      <c r="K2425" s="24"/>
      <c r="L2425" s="24"/>
      <c r="M2425" s="24"/>
      <c r="N2425" s="24"/>
    </row>
    <row r="2426" spans="1:14">
      <c r="A2426" s="2"/>
      <c r="B2426" s="2"/>
      <c r="C2426" s="2"/>
      <c r="D2426" s="2">
        <f>F2426*2+4</f>
        <v>8</v>
      </c>
      <c r="E2426" s="2" t="s">
        <v>1</v>
      </c>
      <c r="F2426" s="24">
        <v>2</v>
      </c>
      <c r="G2426" s="24">
        <f>I2424</f>
        <v>8400</v>
      </c>
      <c r="H2426" s="6">
        <f>F2424-100</f>
        <v>6400</v>
      </c>
      <c r="I2426" s="6">
        <f>G2426</f>
        <v>8400</v>
      </c>
      <c r="J2426" s="24">
        <f>H2426+200</f>
        <v>6600</v>
      </c>
      <c r="K2426" s="24"/>
      <c r="L2426" s="24"/>
      <c r="M2426" s="24"/>
      <c r="N2426" s="24"/>
    </row>
    <row r="2427" spans="1:14">
      <c r="A2427" s="2"/>
      <c r="B2427" s="2"/>
      <c r="C2427" s="2"/>
      <c r="D2427" s="2">
        <f>ROUNDUP(6+F2427/2,0)</f>
        <v>8</v>
      </c>
      <c r="E2427" s="2" t="s">
        <v>6</v>
      </c>
      <c r="F2427" s="24">
        <f>LEN(G2427)</f>
        <v>3</v>
      </c>
      <c r="G2427" s="24">
        <f>B2423/1000</f>
        <v>0.9</v>
      </c>
      <c r="H2427" s="24">
        <f>J2425</f>
        <v>6600</v>
      </c>
      <c r="I2427" s="24">
        <f>G2425-50</f>
        <v>7350</v>
      </c>
      <c r="K2427" s="24"/>
      <c r="L2427" s="24"/>
      <c r="M2427" s="24"/>
      <c r="N2427" s="24"/>
    </row>
    <row r="2428" spans="1:14">
      <c r="A2428" s="2"/>
      <c r="B2428" s="2"/>
      <c r="C2428" s="2"/>
      <c r="D2428" s="2">
        <f>ROUNDUP(6+F2428/2,0)</f>
        <v>8</v>
      </c>
      <c r="E2428" s="2" t="s">
        <v>6</v>
      </c>
      <c r="F2428" s="24">
        <f>LEN(G2428)</f>
        <v>3</v>
      </c>
      <c r="G2428" s="24">
        <v>1.9</v>
      </c>
      <c r="H2428" s="24">
        <f>H2427</f>
        <v>6600</v>
      </c>
      <c r="I2428" s="24">
        <f>G2426-50</f>
        <v>8350</v>
      </c>
      <c r="J2428" s="24"/>
      <c r="K2428" s="24"/>
      <c r="L2428" s="24"/>
      <c r="M2428" s="24"/>
      <c r="N2428" s="24"/>
    </row>
    <row r="2429" spans="1:14">
      <c r="A2429" s="2"/>
      <c r="B2429" s="2"/>
      <c r="C2429" s="2"/>
      <c r="D2429" s="2">
        <f>ROUNDUP(6+F2429/2,0)</f>
        <v>9</v>
      </c>
      <c r="E2429" s="2" t="s">
        <v>6</v>
      </c>
      <c r="F2429" s="24">
        <f>LEN(G2429)</f>
        <v>5</v>
      </c>
      <c r="G2429" s="24" t="s">
        <v>281</v>
      </c>
      <c r="H2429" s="24">
        <f>C2399-2000</f>
        <v>4500</v>
      </c>
      <c r="I2429" s="24">
        <f>B2399+100</f>
        <v>6600</v>
      </c>
      <c r="J2429" s="24"/>
      <c r="K2429" s="24"/>
      <c r="L2429" s="24"/>
      <c r="M2429" s="24"/>
      <c r="N2429" s="24"/>
    </row>
    <row r="2430" spans="1:14">
      <c r="A2430" s="2"/>
      <c r="B2430" s="2"/>
      <c r="C2430" s="2"/>
      <c r="D2430" s="2">
        <f>ROUNDUP(6+F2430/2,0)</f>
        <v>9</v>
      </c>
      <c r="E2430" s="2" t="s">
        <v>6</v>
      </c>
      <c r="F2430" s="24">
        <f>LEN(G2430)</f>
        <v>6</v>
      </c>
      <c r="G2430" s="24" t="s">
        <v>283</v>
      </c>
      <c r="H2430" s="24">
        <f>H2429+300</f>
        <v>4800</v>
      </c>
      <c r="I2430" s="24">
        <f>I2429</f>
        <v>6600</v>
      </c>
      <c r="J2430" s="24"/>
      <c r="K2430" s="24"/>
      <c r="L2430" s="24"/>
      <c r="M2430" s="24"/>
      <c r="N2430" s="24"/>
    </row>
    <row r="2431" spans="1:14">
      <c r="A2431" s="2" t="s">
        <v>272</v>
      </c>
      <c r="B2431" s="2">
        <v>2000</v>
      </c>
      <c r="C2431" s="2"/>
      <c r="D2431" s="2">
        <f>F2431*2+4</f>
        <v>12</v>
      </c>
      <c r="E2431" s="2" t="s">
        <v>4</v>
      </c>
      <c r="F2431" s="24">
        <v>4</v>
      </c>
      <c r="G2431" s="24">
        <f>B2431-200+B2399</f>
        <v>8300</v>
      </c>
      <c r="H2431" s="24">
        <f>C2416+100</f>
        <v>4300</v>
      </c>
      <c r="I2431" s="24">
        <f>G2431</f>
        <v>8300</v>
      </c>
      <c r="J2431" s="24">
        <f>H2431-200</f>
        <v>4100</v>
      </c>
      <c r="K2431" s="24">
        <f>I2431+400</f>
        <v>8700</v>
      </c>
      <c r="L2431" s="24">
        <f>H2431</f>
        <v>4300</v>
      </c>
      <c r="M2431" s="24">
        <f>K2431</f>
        <v>8700</v>
      </c>
      <c r="N2431" s="24">
        <f>J2431</f>
        <v>4100</v>
      </c>
    </row>
    <row r="2432" spans="1:14">
      <c r="A2432" s="2"/>
      <c r="B2432" s="2"/>
      <c r="C2432" s="2"/>
      <c r="D2432" s="2">
        <f>F2432*2+4</f>
        <v>8</v>
      </c>
      <c r="E2432" s="2" t="s">
        <v>1</v>
      </c>
      <c r="F2432" s="24">
        <v>2</v>
      </c>
      <c r="G2432" s="24">
        <f>G2431+200</f>
        <v>8500</v>
      </c>
      <c r="H2432" s="24">
        <f>H2431+100</f>
        <v>4400</v>
      </c>
      <c r="I2432" s="24">
        <f>G2432</f>
        <v>8500</v>
      </c>
      <c r="J2432" s="24">
        <f>J2431-100</f>
        <v>4000</v>
      </c>
      <c r="K2432" s="24"/>
      <c r="L2432" s="24"/>
      <c r="M2432" s="24"/>
      <c r="N2432" s="24"/>
    </row>
    <row r="2433" spans="1:14">
      <c r="A2433" s="2"/>
      <c r="B2433" s="2"/>
      <c r="C2433" s="2"/>
      <c r="D2433" s="2">
        <f>ROUNDUP(6+F2433/2,0)</f>
        <v>7</v>
      </c>
      <c r="E2433" s="2" t="s">
        <v>6</v>
      </c>
      <c r="F2433" s="24">
        <f>LEN(G2433)</f>
        <v>2</v>
      </c>
      <c r="G2433" s="24" t="s">
        <v>273</v>
      </c>
      <c r="H2433" s="24">
        <f>H2431-400</f>
        <v>3900</v>
      </c>
      <c r="I2433" s="24">
        <f>G2431+600</f>
        <v>8900</v>
      </c>
      <c r="J2433" s="24"/>
      <c r="K2433" s="24"/>
      <c r="L2433" s="24"/>
      <c r="M2433" s="24"/>
      <c r="N2433" s="24"/>
    </row>
    <row r="2434" spans="1:14">
      <c r="A2434" s="2" t="s">
        <v>272</v>
      </c>
      <c r="B2434" s="2">
        <v>2900</v>
      </c>
      <c r="C2434" s="2"/>
      <c r="D2434" s="2">
        <f>F2434*2+4</f>
        <v>12</v>
      </c>
      <c r="E2434" s="2" t="s">
        <v>4</v>
      </c>
      <c r="F2434" s="24">
        <v>4</v>
      </c>
      <c r="G2434" s="24">
        <f>B2434-200+B2399</f>
        <v>9200</v>
      </c>
      <c r="H2434" s="24">
        <f>C2416+100</f>
        <v>4300</v>
      </c>
      <c r="I2434" s="24">
        <f>G2434</f>
        <v>9200</v>
      </c>
      <c r="J2434" s="24">
        <f>H2434-200</f>
        <v>4100</v>
      </c>
      <c r="K2434" s="24">
        <f>I2434+400</f>
        <v>9600</v>
      </c>
      <c r="L2434" s="24">
        <f>H2434</f>
        <v>4300</v>
      </c>
      <c r="M2434" s="24">
        <f>K2434</f>
        <v>9600</v>
      </c>
      <c r="N2434" s="24">
        <f>J2434</f>
        <v>4100</v>
      </c>
    </row>
    <row r="2435" spans="1:14">
      <c r="A2435" s="2"/>
      <c r="B2435" s="2"/>
      <c r="C2435" s="2"/>
      <c r="D2435" s="2">
        <f>F2435*2+4</f>
        <v>8</v>
      </c>
      <c r="E2435" s="2" t="s">
        <v>1</v>
      </c>
      <c r="F2435" s="24">
        <v>2</v>
      </c>
      <c r="G2435" s="24">
        <f>G2434+200</f>
        <v>9400</v>
      </c>
      <c r="H2435" s="24">
        <f>H2434+100</f>
        <v>4400</v>
      </c>
      <c r="I2435" s="24">
        <f>G2435</f>
        <v>9400</v>
      </c>
      <c r="J2435" s="24">
        <f>J2434-100</f>
        <v>4000</v>
      </c>
      <c r="K2435" s="24"/>
      <c r="L2435" s="24"/>
      <c r="M2435" s="24"/>
      <c r="N2435" s="24"/>
    </row>
    <row r="2436" spans="1:14">
      <c r="A2436" s="2"/>
      <c r="B2436" s="2"/>
      <c r="C2436" s="2"/>
      <c r="D2436" s="2">
        <f>ROUNDUP(6+F2436/2,0)</f>
        <v>7</v>
      </c>
      <c r="E2436" s="2" t="s">
        <v>6</v>
      </c>
      <c r="F2436" s="24">
        <f>LEN(G2436)</f>
        <v>2</v>
      </c>
      <c r="G2436" s="24" t="s">
        <v>273</v>
      </c>
      <c r="H2436" s="24">
        <f>H2434-400</f>
        <v>3900</v>
      </c>
      <c r="I2436" s="24">
        <f>G2434+600</f>
        <v>9800</v>
      </c>
      <c r="J2436" s="24"/>
      <c r="K2436" s="24"/>
      <c r="L2436" s="24"/>
      <c r="M2436" s="24"/>
      <c r="N2436" s="24"/>
    </row>
    <row r="2437" spans="1:14">
      <c r="A2437" s="2" t="s">
        <v>276</v>
      </c>
      <c r="B2437" s="2"/>
      <c r="C2437" s="2"/>
      <c r="D2437" s="2">
        <f>F2437*2+4</f>
        <v>8</v>
      </c>
      <c r="E2437" s="2" t="s">
        <v>1</v>
      </c>
      <c r="F2437" s="24">
        <v>2</v>
      </c>
      <c r="G2437" s="24">
        <f>G2435</f>
        <v>9400</v>
      </c>
      <c r="H2437" s="24">
        <f>C2399-100</f>
        <v>6400</v>
      </c>
      <c r="I2437" s="24">
        <f>G2437</f>
        <v>9400</v>
      </c>
      <c r="J2437" s="24">
        <f>H2437+200</f>
        <v>6600</v>
      </c>
      <c r="K2437" s="24"/>
      <c r="L2437" s="24"/>
      <c r="M2437" s="24"/>
      <c r="N2437" s="24"/>
    </row>
    <row r="2438" spans="1:14">
      <c r="A2438" s="2"/>
      <c r="B2438" s="2"/>
      <c r="C2438" s="2"/>
      <c r="D2438" s="2">
        <f>ROUNDUP(6+F2438/2,0)</f>
        <v>8</v>
      </c>
      <c r="E2438" s="2" t="s">
        <v>6</v>
      </c>
      <c r="F2438" s="24">
        <f>LEN(G2438)</f>
        <v>3</v>
      </c>
      <c r="G2438" s="24">
        <v>2.9</v>
      </c>
      <c r="H2438" s="24">
        <f>J2437</f>
        <v>6600</v>
      </c>
      <c r="I2438" s="24">
        <f>G2437-100</f>
        <v>9300</v>
      </c>
      <c r="J2438" s="24"/>
      <c r="K2438" s="24"/>
      <c r="L2438" s="24"/>
      <c r="M2438" s="24"/>
      <c r="N2438" s="24"/>
    </row>
    <row r="2439" spans="1:14">
      <c r="A2439" t="s">
        <v>266</v>
      </c>
      <c r="B2439" t="s">
        <v>2</v>
      </c>
      <c r="C2439" t="s">
        <v>3</v>
      </c>
      <c r="D2439" s="2">
        <v>18</v>
      </c>
      <c r="E2439" s="2" t="s">
        <v>111</v>
      </c>
      <c r="F2439" s="24">
        <v>200</v>
      </c>
      <c r="G2439" s="24">
        <f>B2440-200</f>
        <v>6300</v>
      </c>
      <c r="H2439" s="24">
        <f>C2440</f>
        <v>3000</v>
      </c>
      <c r="I2439" s="24">
        <f>G2439+600+B2451+B2452</f>
        <v>10700</v>
      </c>
      <c r="J2439" s="24">
        <f>C2440</f>
        <v>3000</v>
      </c>
      <c r="K2439" s="24"/>
      <c r="L2439" s="24"/>
    </row>
    <row r="2440" spans="1:14">
      <c r="B2440">
        <v>6500</v>
      </c>
      <c r="C2440">
        <v>3000</v>
      </c>
      <c r="D2440" s="2">
        <v>18</v>
      </c>
      <c r="E2440" s="2" t="s">
        <v>111</v>
      </c>
      <c r="F2440" s="24">
        <v>200</v>
      </c>
      <c r="G2440" s="24">
        <f>B2440</f>
        <v>6500</v>
      </c>
      <c r="H2440" s="24">
        <f>C2440+200</f>
        <v>3200</v>
      </c>
      <c r="I2440" s="24">
        <f>G2440</f>
        <v>6500</v>
      </c>
      <c r="J2440" s="24">
        <f>H2440-3000</f>
        <v>200</v>
      </c>
      <c r="K2440" s="24"/>
      <c r="L2440" s="24"/>
    </row>
    <row r="2441" spans="1:14">
      <c r="D2441" s="2">
        <f>ROUNDUP(6+F2441/2,0)</f>
        <v>7</v>
      </c>
      <c r="E2441" s="2" t="s">
        <v>6</v>
      </c>
      <c r="F2441" s="24">
        <f>LEN(G2441)</f>
        <v>1</v>
      </c>
      <c r="G2441" s="24" t="s">
        <v>42</v>
      </c>
      <c r="H2441" s="24">
        <f>J2440-150</f>
        <v>50</v>
      </c>
      <c r="I2441" s="24">
        <f>G2440+200</f>
        <v>6700</v>
      </c>
      <c r="J2441" s="24"/>
      <c r="K2441" s="24"/>
      <c r="L2441" s="24"/>
      <c r="M2441" s="24"/>
      <c r="N2441" s="24"/>
    </row>
    <row r="2442" spans="1:14">
      <c r="D2442" s="2">
        <f>ROUNDUP(6+F2442/2,0)</f>
        <v>7</v>
      </c>
      <c r="E2442" s="2" t="s">
        <v>6</v>
      </c>
      <c r="F2442" s="24">
        <f>LEN(G2442)</f>
        <v>1</v>
      </c>
      <c r="G2442" s="24" t="s">
        <v>22</v>
      </c>
      <c r="H2442" s="24">
        <f>H2439-150</f>
        <v>2850</v>
      </c>
      <c r="I2442" s="24">
        <f>I2439+100</f>
        <v>10800</v>
      </c>
      <c r="J2442" s="24"/>
      <c r="K2442" s="24"/>
      <c r="L2442" s="24"/>
    </row>
    <row r="2443" spans="1:14">
      <c r="A2443" s="2"/>
      <c r="B2443" s="2"/>
      <c r="C2443" s="2"/>
      <c r="D2443" s="2">
        <f>F2443*2+4</f>
        <v>8</v>
      </c>
      <c r="E2443" s="2" t="s">
        <v>1</v>
      </c>
      <c r="F2443" s="24">
        <v>2</v>
      </c>
      <c r="G2443" s="24">
        <f>B2440-100</f>
        <v>6400</v>
      </c>
      <c r="H2443" s="24">
        <f>C2440-1000</f>
        <v>2000</v>
      </c>
      <c r="I2443" s="24">
        <f>B2440+100</f>
        <v>6600</v>
      </c>
      <c r="J2443" s="24">
        <f>H2443</f>
        <v>2000</v>
      </c>
      <c r="K2443" s="24"/>
      <c r="L2443" s="24"/>
      <c r="M2443" s="24"/>
      <c r="N2443" s="24"/>
    </row>
    <row r="2444" spans="1:14">
      <c r="A2444" s="2"/>
      <c r="B2444" s="2"/>
      <c r="C2444" s="2"/>
      <c r="D2444" s="2">
        <f>F2444*2+4</f>
        <v>8</v>
      </c>
      <c r="E2444" s="2" t="s">
        <v>1</v>
      </c>
      <c r="F2444" s="24">
        <v>2</v>
      </c>
      <c r="G2444" s="24">
        <f>G2443</f>
        <v>6400</v>
      </c>
      <c r="H2444" s="24">
        <f>C2440-2000</f>
        <v>1000</v>
      </c>
      <c r="I2444" s="24">
        <f>I2443</f>
        <v>6600</v>
      </c>
      <c r="J2444" s="24">
        <f>H2444</f>
        <v>1000</v>
      </c>
      <c r="K2444" s="24"/>
      <c r="L2444" s="24"/>
      <c r="M2444" s="24"/>
      <c r="N2444" s="24"/>
    </row>
    <row r="2445" spans="1:14">
      <c r="A2445" s="2"/>
      <c r="B2445" s="2"/>
      <c r="C2445" s="2"/>
      <c r="D2445" s="2">
        <f>ROUNDUP(6+F2445/2,0)</f>
        <v>7</v>
      </c>
      <c r="E2445" s="2" t="s">
        <v>6</v>
      </c>
      <c r="F2445" s="24">
        <f>LEN(G2445)</f>
        <v>1</v>
      </c>
      <c r="G2445" s="24">
        <v>1</v>
      </c>
      <c r="H2445" s="24">
        <f>H2443-150</f>
        <v>1850</v>
      </c>
      <c r="I2445" s="24">
        <f>G2443-200</f>
        <v>6200</v>
      </c>
      <c r="K2445" s="24"/>
      <c r="L2445" s="24"/>
      <c r="M2445" s="24"/>
      <c r="N2445" s="24"/>
    </row>
    <row r="2446" spans="1:14">
      <c r="A2446" s="2"/>
      <c r="B2446" s="2"/>
      <c r="C2446" s="2"/>
      <c r="D2446" s="2">
        <f>ROUNDUP(6+F2446/2,0)</f>
        <v>7</v>
      </c>
      <c r="E2446" s="2" t="s">
        <v>6</v>
      </c>
      <c r="F2446" s="24">
        <f>LEN(G2446)</f>
        <v>1</v>
      </c>
      <c r="G2446" s="24">
        <v>2</v>
      </c>
      <c r="H2446" s="24">
        <f>H2444-150</f>
        <v>850</v>
      </c>
      <c r="I2446" s="24">
        <f>I2445</f>
        <v>6200</v>
      </c>
      <c r="J2446" s="24"/>
      <c r="K2446" s="24"/>
      <c r="L2446" s="24"/>
      <c r="M2446" s="24"/>
      <c r="N2446" s="24"/>
    </row>
    <row r="2447" spans="1:14">
      <c r="A2447" s="2"/>
      <c r="B2447" s="2"/>
      <c r="C2447" s="2"/>
      <c r="D2447" s="2">
        <f>ROUNDUP(6+F2447/2,0)</f>
        <v>9</v>
      </c>
      <c r="E2447" s="2" t="s">
        <v>6</v>
      </c>
      <c r="F2447" s="24">
        <f>LEN(G2447)</f>
        <v>5</v>
      </c>
      <c r="G2447" s="24" t="s">
        <v>284</v>
      </c>
      <c r="H2447" s="24">
        <f>H2446+300</f>
        <v>1150</v>
      </c>
      <c r="I2447" s="24">
        <f>I2446-800</f>
        <v>5400</v>
      </c>
      <c r="J2447" s="24"/>
      <c r="K2447" s="24"/>
      <c r="L2447" s="24"/>
      <c r="M2447" s="24"/>
      <c r="N2447" s="24"/>
    </row>
    <row r="2448" spans="1:14">
      <c r="A2448" s="2"/>
      <c r="B2448" s="2"/>
      <c r="C2448" s="2"/>
      <c r="D2448" s="2">
        <f>ROUNDUP(6+F2448/2,0)</f>
        <v>8</v>
      </c>
      <c r="E2448" s="2" t="s">
        <v>6</v>
      </c>
      <c r="F2448" s="24">
        <f>LEN(G2448)</f>
        <v>4</v>
      </c>
      <c r="G2448" s="40" t="s">
        <v>275</v>
      </c>
      <c r="H2448" s="24">
        <f>H2447+300</f>
        <v>1450</v>
      </c>
      <c r="I2448" s="24">
        <f>I2447</f>
        <v>5400</v>
      </c>
      <c r="J2448" s="24"/>
      <c r="K2448" s="24"/>
      <c r="L2448" s="24"/>
      <c r="M2448" s="24"/>
      <c r="N2448" s="24"/>
    </row>
    <row r="2449" spans="1:14">
      <c r="A2449" s="2"/>
      <c r="B2449" s="2"/>
      <c r="C2449" s="2"/>
      <c r="D2449" s="2">
        <v>7</v>
      </c>
      <c r="E2449" s="2" t="s">
        <v>0</v>
      </c>
      <c r="F2449" s="24">
        <f>H2449+400</f>
        <v>1100</v>
      </c>
      <c r="G2449" s="24">
        <f>I2449+400</f>
        <v>5800</v>
      </c>
      <c r="H2449" s="24">
        <f>H2450-50</f>
        <v>700</v>
      </c>
      <c r="I2449" s="24">
        <f>I2448</f>
        <v>5400</v>
      </c>
      <c r="J2449" s="24"/>
      <c r="K2449" s="24"/>
      <c r="L2449" s="24"/>
      <c r="M2449" s="24"/>
      <c r="N2449" s="24"/>
    </row>
    <row r="2450" spans="1:14">
      <c r="A2450" s="2"/>
      <c r="B2450" s="2"/>
      <c r="C2450" s="2"/>
      <c r="D2450" s="2">
        <f>ROUNDUP(6+F2450/2,0)</f>
        <v>7</v>
      </c>
      <c r="E2450" s="2" t="s">
        <v>6</v>
      </c>
      <c r="F2450" s="24">
        <f>LEN(G2450)</f>
        <v>1</v>
      </c>
      <c r="G2450" s="40">
        <v>4</v>
      </c>
      <c r="H2450" s="24">
        <f>H2447-400</f>
        <v>750</v>
      </c>
      <c r="I2450" s="24">
        <f>I2448+128</f>
        <v>5528</v>
      </c>
      <c r="J2450" s="24"/>
      <c r="K2450" s="24"/>
      <c r="L2450" s="24"/>
      <c r="M2450" s="24"/>
      <c r="N2450" s="24"/>
    </row>
    <row r="2451" spans="1:14">
      <c r="A2451" s="2"/>
      <c r="B2451" s="2">
        <v>1900</v>
      </c>
      <c r="C2451" s="2"/>
      <c r="D2451" s="2">
        <v>7</v>
      </c>
      <c r="E2451" s="2" t="s">
        <v>5</v>
      </c>
      <c r="F2451" s="24">
        <f>C2440</f>
        <v>3000</v>
      </c>
      <c r="G2451" s="24">
        <f>B2440</f>
        <v>6500</v>
      </c>
      <c r="H2451" s="24">
        <f>F2451-1000</f>
        <v>2000</v>
      </c>
      <c r="I2451" s="24">
        <f>B2440+B2451</f>
        <v>8400</v>
      </c>
      <c r="J2451" s="24"/>
      <c r="K2451" s="24"/>
      <c r="L2451" s="24"/>
      <c r="M2451" s="24"/>
      <c r="N2451" s="24"/>
    </row>
    <row r="2452" spans="1:14">
      <c r="A2452" s="2"/>
      <c r="B2452" s="2">
        <v>1900</v>
      </c>
      <c r="C2452" s="2"/>
      <c r="D2452" s="2">
        <v>7</v>
      </c>
      <c r="E2452" s="2" t="s">
        <v>5</v>
      </c>
      <c r="F2452" s="24">
        <f>F2451</f>
        <v>3000</v>
      </c>
      <c r="G2452" s="24">
        <f>I2451</f>
        <v>8400</v>
      </c>
      <c r="H2452" s="24">
        <f>F2452-2000</f>
        <v>1000</v>
      </c>
      <c r="I2452" s="24">
        <f>G2452+B2452</f>
        <v>10300</v>
      </c>
      <c r="J2452" s="24"/>
      <c r="K2452" s="24"/>
      <c r="L2452" s="24"/>
      <c r="M2452" s="24"/>
      <c r="N2452" s="24"/>
    </row>
    <row r="2453" spans="1:14">
      <c r="A2453" s="2"/>
      <c r="B2453" s="2"/>
      <c r="C2453" s="2"/>
      <c r="D2453" s="2">
        <f>F2453*2+4</f>
        <v>8</v>
      </c>
      <c r="E2453" s="2" t="s">
        <v>1</v>
      </c>
      <c r="F2453" s="24">
        <v>2</v>
      </c>
      <c r="G2453" s="24">
        <f>I2451</f>
        <v>8400</v>
      </c>
      <c r="H2453" s="6">
        <f>F2451-100</f>
        <v>2900</v>
      </c>
      <c r="I2453" s="6">
        <f>G2453</f>
        <v>8400</v>
      </c>
      <c r="J2453" s="24">
        <f>H2453+200</f>
        <v>3100</v>
      </c>
      <c r="K2453" s="24"/>
      <c r="L2453" s="24"/>
      <c r="M2453" s="24"/>
      <c r="N2453" s="24"/>
    </row>
    <row r="2454" spans="1:14">
      <c r="D2454" s="2">
        <f>F2454*2+4</f>
        <v>8</v>
      </c>
      <c r="E2454" s="2" t="s">
        <v>1</v>
      </c>
      <c r="F2454" s="24">
        <v>2</v>
      </c>
      <c r="G2454" s="24">
        <f>I2452</f>
        <v>10300</v>
      </c>
      <c r="H2454" s="6">
        <f>F2452-100</f>
        <v>2900</v>
      </c>
      <c r="I2454" s="6">
        <f>G2454</f>
        <v>10300</v>
      </c>
      <c r="J2454" s="24">
        <f>H2454+200</f>
        <v>3100</v>
      </c>
      <c r="K2454" s="24"/>
      <c r="L2454" s="24"/>
    </row>
    <row r="2455" spans="1:14">
      <c r="D2455" s="2">
        <f>ROUNDUP(6+F2455/2,0)</f>
        <v>8</v>
      </c>
      <c r="E2455" s="2" t="s">
        <v>6</v>
      </c>
      <c r="F2455" s="24">
        <f>LEN(G2455)</f>
        <v>3</v>
      </c>
      <c r="G2455" s="24">
        <f>B2451/1000</f>
        <v>1.9</v>
      </c>
      <c r="H2455" s="24">
        <f>J2453</f>
        <v>3100</v>
      </c>
      <c r="I2455" s="24">
        <f>G2453-100</f>
        <v>8300</v>
      </c>
      <c r="K2455" s="24"/>
      <c r="L2455" s="24"/>
    </row>
    <row r="2456" spans="1:14">
      <c r="A2456" s="2"/>
      <c r="B2456" s="2"/>
      <c r="C2456" s="2"/>
      <c r="D2456" s="2">
        <f>ROUNDUP(6+F2456/2,0)</f>
        <v>8</v>
      </c>
      <c r="E2456" s="2" t="s">
        <v>6</v>
      </c>
      <c r="F2456" s="24">
        <f>LEN(G2456)</f>
        <v>3</v>
      </c>
      <c r="G2456" s="24">
        <f>G2455+B2452/1000</f>
        <v>3.8</v>
      </c>
      <c r="H2456" s="24">
        <f>H2455</f>
        <v>3100</v>
      </c>
      <c r="I2456" s="24">
        <f>G2454-100</f>
        <v>10200</v>
      </c>
      <c r="J2456" s="24"/>
      <c r="K2456" s="24"/>
      <c r="L2456" s="24"/>
      <c r="M2456" s="24"/>
      <c r="N2456" s="24"/>
    </row>
    <row r="2457" spans="1:14">
      <c r="A2457" s="2" t="s">
        <v>268</v>
      </c>
      <c r="B2457" s="2"/>
      <c r="C2457" s="2">
        <f>C2440-2300</f>
        <v>700</v>
      </c>
      <c r="D2457" s="2">
        <v>18</v>
      </c>
      <c r="E2457" s="2" t="s">
        <v>111</v>
      </c>
      <c r="F2457" s="24">
        <v>200</v>
      </c>
      <c r="G2457" s="24">
        <f>B2440</f>
        <v>6500</v>
      </c>
      <c r="H2457" s="24">
        <f>C2457</f>
        <v>700</v>
      </c>
      <c r="I2457" s="24">
        <f>B2440+B2451+B2452</f>
        <v>10300</v>
      </c>
      <c r="J2457" s="24">
        <f>H2457</f>
        <v>700</v>
      </c>
      <c r="K2457" s="24"/>
      <c r="L2457" s="24"/>
      <c r="M2457" s="24"/>
      <c r="N2457" s="24"/>
    </row>
    <row r="2458" spans="1:14">
      <c r="A2458" s="2"/>
      <c r="B2458" s="2"/>
      <c r="C2458" s="2"/>
      <c r="D2458" s="2">
        <f>F2458*2+4</f>
        <v>10</v>
      </c>
      <c r="E2458" s="2" t="s">
        <v>4</v>
      </c>
      <c r="F2458" s="24">
        <v>3</v>
      </c>
      <c r="G2458" s="24">
        <f>G2457</f>
        <v>6500</v>
      </c>
      <c r="H2458" s="24">
        <f>C2457</f>
        <v>700</v>
      </c>
      <c r="I2458" s="24">
        <f>G2458+200</f>
        <v>6700</v>
      </c>
      <c r="J2458" s="24">
        <f>H2458+100</f>
        <v>800</v>
      </c>
      <c r="K2458" s="24">
        <f>I2458</f>
        <v>6700</v>
      </c>
      <c r="L2458" s="24">
        <f>J2458-200</f>
        <v>600</v>
      </c>
      <c r="M2458" s="24"/>
      <c r="N2458" s="24"/>
    </row>
    <row r="2459" spans="1:14">
      <c r="A2459" s="2"/>
      <c r="B2459" s="2"/>
      <c r="C2459" s="2"/>
      <c r="D2459" s="2">
        <f>F2459*2+4</f>
        <v>12</v>
      </c>
      <c r="E2459" s="2" t="s">
        <v>4</v>
      </c>
      <c r="F2459" s="24">
        <v>4</v>
      </c>
      <c r="G2459" s="24">
        <f>B2440+B2451-200</f>
        <v>8200</v>
      </c>
      <c r="H2459" s="24">
        <f>C2457+100</f>
        <v>800</v>
      </c>
      <c r="I2459" s="24">
        <f>G2459</f>
        <v>8200</v>
      </c>
      <c r="J2459" s="24">
        <f>H2459-200</f>
        <v>600</v>
      </c>
      <c r="K2459" s="24">
        <f>I2459+400</f>
        <v>8600</v>
      </c>
      <c r="L2459" s="24">
        <f>H2459</f>
        <v>800</v>
      </c>
      <c r="M2459" s="24">
        <f>K2459</f>
        <v>8600</v>
      </c>
      <c r="N2459" s="24">
        <f>J2459</f>
        <v>600</v>
      </c>
    </row>
    <row r="2460" spans="1:14">
      <c r="A2460" s="2"/>
      <c r="B2460" s="2"/>
      <c r="C2460" s="2"/>
      <c r="D2460" s="2">
        <f>F2460*2+4</f>
        <v>8</v>
      </c>
      <c r="E2460" s="2" t="s">
        <v>1</v>
      </c>
      <c r="F2460" s="24">
        <v>2</v>
      </c>
      <c r="G2460" s="24">
        <f>G2453</f>
        <v>8400</v>
      </c>
      <c r="H2460" s="24">
        <f>C2457-200</f>
        <v>500</v>
      </c>
      <c r="I2460" s="24">
        <f>I2453</f>
        <v>8400</v>
      </c>
      <c r="J2460" s="24">
        <f>H2460+400</f>
        <v>900</v>
      </c>
      <c r="K2460" s="24"/>
      <c r="L2460" s="24"/>
      <c r="M2460" s="24"/>
      <c r="N2460" s="24"/>
    </row>
    <row r="2461" spans="1:14">
      <c r="A2461" s="2"/>
      <c r="B2461" s="2"/>
      <c r="C2461" s="2"/>
      <c r="D2461" s="2">
        <f>F2461*2+4</f>
        <v>8</v>
      </c>
      <c r="E2461" s="2" t="s">
        <v>1</v>
      </c>
      <c r="F2461" s="24">
        <v>2</v>
      </c>
      <c r="G2461" s="24">
        <f>G2460+B2452</f>
        <v>10300</v>
      </c>
      <c r="H2461" s="24">
        <f>H2460</f>
        <v>500</v>
      </c>
      <c r="I2461" s="24">
        <f>G2461</f>
        <v>10300</v>
      </c>
      <c r="J2461" s="24">
        <f>J2460</f>
        <v>900</v>
      </c>
      <c r="K2461" s="24"/>
      <c r="L2461" s="24"/>
      <c r="M2461" s="24"/>
      <c r="N2461" s="24"/>
    </row>
    <row r="2462" spans="1:14">
      <c r="A2462" s="2"/>
      <c r="B2462" s="2"/>
      <c r="C2462" s="2"/>
      <c r="D2462" s="2">
        <f>ROUNDUP(6+F2462/2,0)</f>
        <v>7</v>
      </c>
      <c r="E2462" s="2" t="s">
        <v>6</v>
      </c>
      <c r="F2462" s="24">
        <f>LEN(G2462)</f>
        <v>1</v>
      </c>
      <c r="G2462" s="24">
        <v>1</v>
      </c>
      <c r="H2462" s="24">
        <f>C2457-300</f>
        <v>400</v>
      </c>
      <c r="I2462" s="24">
        <f>B2440+400</f>
        <v>6900</v>
      </c>
      <c r="J2462" s="24"/>
      <c r="K2462" s="24"/>
      <c r="L2462" s="24"/>
      <c r="M2462" s="24"/>
      <c r="N2462" s="24"/>
    </row>
    <row r="2463" spans="1:14">
      <c r="A2463" s="2"/>
      <c r="B2463" s="2"/>
      <c r="C2463" s="2"/>
      <c r="D2463" s="2">
        <f>ROUNDUP(6+F2463/2,0)</f>
        <v>7</v>
      </c>
      <c r="E2463" s="2" t="s">
        <v>6</v>
      </c>
      <c r="F2463" s="24">
        <f>LEN(G2463)</f>
        <v>1</v>
      </c>
      <c r="G2463" s="24">
        <v>1</v>
      </c>
      <c r="H2463" s="24">
        <f>C2457-300</f>
        <v>400</v>
      </c>
      <c r="I2463" s="24">
        <f>I2462+B2451</f>
        <v>8800</v>
      </c>
      <c r="J2463" s="24"/>
      <c r="K2463" s="24"/>
      <c r="L2463" s="24"/>
      <c r="M2463" s="24"/>
      <c r="N2463" s="24"/>
    </row>
    <row r="2464" spans="1:14">
      <c r="A2464" s="2" t="s">
        <v>54</v>
      </c>
      <c r="B2464" s="2">
        <v>900</v>
      </c>
      <c r="C2464" s="2"/>
      <c r="D2464" s="2">
        <v>7</v>
      </c>
      <c r="E2464" s="2" t="s">
        <v>5</v>
      </c>
      <c r="F2464" s="24">
        <f t="shared" ref="F2464:H2465" si="145">F2451</f>
        <v>3000</v>
      </c>
      <c r="G2464" s="24">
        <f t="shared" si="145"/>
        <v>6500</v>
      </c>
      <c r="H2464" s="24">
        <f t="shared" si="145"/>
        <v>2000</v>
      </c>
      <c r="I2464" s="24">
        <f>G2464+B2464</f>
        <v>7400</v>
      </c>
      <c r="J2464" s="24"/>
      <c r="K2464" s="24"/>
      <c r="L2464" s="24"/>
      <c r="M2464" s="24"/>
      <c r="N2464" s="24"/>
    </row>
    <row r="2465" spans="1:23">
      <c r="A2465" s="2"/>
      <c r="B2465" s="2">
        <v>900</v>
      </c>
      <c r="C2465" s="2"/>
      <c r="D2465" s="2">
        <v>7</v>
      </c>
      <c r="E2465" s="2" t="s">
        <v>5</v>
      </c>
      <c r="F2465" s="24">
        <f t="shared" si="145"/>
        <v>3000</v>
      </c>
      <c r="G2465" s="24">
        <f t="shared" si="145"/>
        <v>8400</v>
      </c>
      <c r="H2465" s="24">
        <f t="shared" si="145"/>
        <v>1000</v>
      </c>
      <c r="I2465" s="24">
        <f>G2465+B2465</f>
        <v>9300</v>
      </c>
      <c r="J2465" s="24"/>
      <c r="K2465" s="24"/>
      <c r="L2465" s="24"/>
      <c r="M2465" s="24"/>
      <c r="N2465" s="24"/>
    </row>
    <row r="2466" spans="1:23">
      <c r="A2466" s="2"/>
      <c r="B2466" s="2"/>
      <c r="C2466" s="2"/>
      <c r="D2466" s="2">
        <f>F2466*2+4</f>
        <v>8</v>
      </c>
      <c r="E2466" s="2" t="s">
        <v>1</v>
      </c>
      <c r="F2466" s="24">
        <v>2</v>
      </c>
      <c r="G2466" s="24">
        <f>I2464</f>
        <v>7400</v>
      </c>
      <c r="H2466" s="6">
        <f>F2464-100</f>
        <v>2900</v>
      </c>
      <c r="I2466" s="6">
        <f>G2466</f>
        <v>7400</v>
      </c>
      <c r="J2466" s="24">
        <f>H2466+200</f>
        <v>3100</v>
      </c>
      <c r="K2466" s="24"/>
      <c r="L2466" s="24"/>
      <c r="M2466" s="24"/>
      <c r="N2466" s="24"/>
    </row>
    <row r="2467" spans="1:23">
      <c r="A2467" s="2"/>
      <c r="B2467" s="2"/>
      <c r="C2467" s="2"/>
      <c r="D2467" s="2">
        <f>F2467*2+4</f>
        <v>8</v>
      </c>
      <c r="E2467" s="2" t="s">
        <v>1</v>
      </c>
      <c r="F2467" s="24">
        <v>2</v>
      </c>
      <c r="G2467" s="24">
        <f>I2465</f>
        <v>9300</v>
      </c>
      <c r="H2467" s="6">
        <f>F2465-100</f>
        <v>2900</v>
      </c>
      <c r="I2467" s="6">
        <f>G2467</f>
        <v>9300</v>
      </c>
      <c r="J2467" s="24">
        <f>H2467+200</f>
        <v>3100</v>
      </c>
      <c r="K2467" s="24"/>
      <c r="L2467" s="24"/>
      <c r="M2467" s="24"/>
      <c r="N2467" s="24"/>
    </row>
    <row r="2468" spans="1:23">
      <c r="A2468" s="2"/>
      <c r="B2468" s="2"/>
      <c r="C2468" s="2"/>
      <c r="D2468" s="2">
        <f>ROUNDUP(6+F2468/2,0)</f>
        <v>8</v>
      </c>
      <c r="E2468" s="2" t="s">
        <v>6</v>
      </c>
      <c r="F2468" s="24">
        <f>LEN(G2468)</f>
        <v>3</v>
      </c>
      <c r="G2468" s="24">
        <f>B2464/1000</f>
        <v>0.9</v>
      </c>
      <c r="H2468" s="24">
        <f>J2466</f>
        <v>3100</v>
      </c>
      <c r="I2468" s="24">
        <f>G2466-50</f>
        <v>7350</v>
      </c>
      <c r="K2468" s="24"/>
      <c r="L2468" s="24"/>
      <c r="M2468" s="24"/>
      <c r="N2468" s="24"/>
    </row>
    <row r="2469" spans="1:23">
      <c r="A2469" s="2"/>
      <c r="B2469" s="2"/>
      <c r="C2469" s="2"/>
      <c r="D2469" s="2">
        <f>ROUNDUP(6+F2469/2,0)</f>
        <v>8</v>
      </c>
      <c r="E2469" s="2" t="s">
        <v>6</v>
      </c>
      <c r="F2469" s="24">
        <f>LEN(G2469)</f>
        <v>3</v>
      </c>
      <c r="G2469" s="24">
        <v>1.9</v>
      </c>
      <c r="H2469" s="24">
        <f>H2468</f>
        <v>3100</v>
      </c>
      <c r="I2469" s="24">
        <f>G2467-50</f>
        <v>9250</v>
      </c>
      <c r="J2469" s="24"/>
      <c r="K2469" s="24"/>
      <c r="L2469" s="24"/>
      <c r="M2469" s="24"/>
      <c r="N2469" s="24"/>
    </row>
    <row r="2470" spans="1:23">
      <c r="A2470" s="2"/>
      <c r="B2470" s="2"/>
      <c r="C2470" s="2"/>
      <c r="D2470" s="2">
        <f>ROUNDUP(6+F2470/2,0)</f>
        <v>8</v>
      </c>
      <c r="E2470" s="2" t="s">
        <v>6</v>
      </c>
      <c r="F2470" s="24">
        <f>LEN(G2470)</f>
        <v>3</v>
      </c>
      <c r="G2470" s="24" t="s">
        <v>211</v>
      </c>
      <c r="H2470" s="24">
        <f>C2440-2000</f>
        <v>1000</v>
      </c>
      <c r="I2470" s="24">
        <f>B2440+100</f>
        <v>6600</v>
      </c>
      <c r="J2470" s="24"/>
      <c r="K2470" s="24"/>
      <c r="L2470" s="24"/>
      <c r="M2470" s="24"/>
      <c r="N2470" s="24"/>
    </row>
    <row r="2471" spans="1:23">
      <c r="A2471" s="2"/>
      <c r="B2471" s="2"/>
      <c r="C2471" s="2"/>
      <c r="D2471" s="2">
        <f>ROUNDUP(6+F2471/2,0)</f>
        <v>9</v>
      </c>
      <c r="E2471" s="2" t="s">
        <v>6</v>
      </c>
      <c r="F2471" s="24">
        <f>LEN(G2471)</f>
        <v>6</v>
      </c>
      <c r="G2471" s="24" t="s">
        <v>280</v>
      </c>
      <c r="H2471" s="24">
        <f>H2470+300</f>
        <v>1300</v>
      </c>
      <c r="I2471" s="24">
        <f>I2470</f>
        <v>6600</v>
      </c>
      <c r="J2471" s="24"/>
      <c r="K2471" s="24"/>
      <c r="L2471" s="24"/>
      <c r="M2471" s="24"/>
      <c r="N2471" s="24"/>
    </row>
    <row r="2472" spans="1:23">
      <c r="A2472" s="2" t="s">
        <v>272</v>
      </c>
      <c r="B2472" s="2">
        <v>1000</v>
      </c>
      <c r="C2472" s="2"/>
      <c r="D2472" s="2">
        <f>F2472*2+4</f>
        <v>12</v>
      </c>
      <c r="E2472" s="2" t="s">
        <v>4</v>
      </c>
      <c r="F2472" s="24">
        <v>4</v>
      </c>
      <c r="G2472" s="24">
        <f>B2472-200+B2440</f>
        <v>7300</v>
      </c>
      <c r="H2472" s="24">
        <f>C2457+100</f>
        <v>800</v>
      </c>
      <c r="I2472" s="24">
        <f>G2472</f>
        <v>7300</v>
      </c>
      <c r="J2472" s="24">
        <f>H2472-200</f>
        <v>600</v>
      </c>
      <c r="K2472" s="24">
        <f>I2472+400</f>
        <v>7700</v>
      </c>
      <c r="L2472" s="24">
        <f>H2472</f>
        <v>800</v>
      </c>
      <c r="M2472" s="24">
        <f>K2472</f>
        <v>7700</v>
      </c>
      <c r="N2472" s="24">
        <f>J2472</f>
        <v>600</v>
      </c>
    </row>
    <row r="2473" spans="1:23">
      <c r="A2473" s="2"/>
      <c r="B2473" s="2"/>
      <c r="C2473" s="2"/>
      <c r="D2473" s="2">
        <f>F2473*2+4</f>
        <v>8</v>
      </c>
      <c r="E2473" s="2" t="s">
        <v>1</v>
      </c>
      <c r="F2473" s="24">
        <v>2</v>
      </c>
      <c r="G2473" s="24">
        <f>G2472+200</f>
        <v>7500</v>
      </c>
      <c r="H2473" s="24">
        <f>H2472+100</f>
        <v>900</v>
      </c>
      <c r="I2473" s="24">
        <f>G2473</f>
        <v>7500</v>
      </c>
      <c r="J2473" s="24">
        <f>J2472-100</f>
        <v>500</v>
      </c>
      <c r="K2473" s="24"/>
      <c r="L2473" s="24"/>
      <c r="M2473" s="24"/>
      <c r="N2473" s="24"/>
    </row>
    <row r="2474" spans="1:23">
      <c r="A2474" s="2"/>
      <c r="B2474" s="2"/>
      <c r="C2474" s="2"/>
      <c r="D2474" s="2">
        <f>ROUNDUP(6+F2474/2,0)</f>
        <v>7</v>
      </c>
      <c r="E2474" s="2" t="s">
        <v>6</v>
      </c>
      <c r="F2474" s="24">
        <f>LEN(G2474)</f>
        <v>2</v>
      </c>
      <c r="G2474" s="24" t="s">
        <v>273</v>
      </c>
      <c r="H2474" s="24">
        <f>H2472-400</f>
        <v>400</v>
      </c>
      <c r="I2474" s="24">
        <f>G2472+600</f>
        <v>7900</v>
      </c>
      <c r="J2474" s="24"/>
      <c r="K2474" s="24"/>
      <c r="L2474" s="24"/>
      <c r="M2474" s="24"/>
      <c r="N2474" s="24"/>
    </row>
    <row r="2475" spans="1:23">
      <c r="A2475" s="2" t="s">
        <v>272</v>
      </c>
      <c r="B2475" s="2">
        <v>2800</v>
      </c>
      <c r="C2475" s="2"/>
      <c r="D2475" s="2">
        <f>F2475*2+4</f>
        <v>12</v>
      </c>
      <c r="E2475" s="2" t="s">
        <v>4</v>
      </c>
      <c r="F2475" s="24">
        <v>4</v>
      </c>
      <c r="G2475" s="24">
        <f>B2475-200+B2440</f>
        <v>9100</v>
      </c>
      <c r="H2475" s="24">
        <f>C2457+100</f>
        <v>800</v>
      </c>
      <c r="I2475" s="24">
        <f>G2475</f>
        <v>9100</v>
      </c>
      <c r="J2475" s="24">
        <f>H2475-200</f>
        <v>600</v>
      </c>
      <c r="K2475" s="24">
        <f>I2475+400</f>
        <v>9500</v>
      </c>
      <c r="L2475" s="24">
        <f>H2475</f>
        <v>800</v>
      </c>
      <c r="M2475" s="24">
        <f>K2475</f>
        <v>9500</v>
      </c>
      <c r="N2475" s="24">
        <f>J2475</f>
        <v>600</v>
      </c>
    </row>
    <row r="2476" spans="1:23">
      <c r="A2476" s="2"/>
      <c r="B2476" s="2"/>
      <c r="C2476" s="2"/>
      <c r="D2476" s="2">
        <f>F2476*2+4</f>
        <v>8</v>
      </c>
      <c r="E2476" s="2" t="s">
        <v>1</v>
      </c>
      <c r="F2476" s="24">
        <v>2</v>
      </c>
      <c r="G2476" s="24">
        <f>G2475+200</f>
        <v>9300</v>
      </c>
      <c r="H2476" s="24">
        <f>H2475+100</f>
        <v>900</v>
      </c>
      <c r="I2476" s="24">
        <f>G2476</f>
        <v>9300</v>
      </c>
      <c r="J2476" s="24">
        <f>J2475-100</f>
        <v>500</v>
      </c>
      <c r="K2476" s="24"/>
      <c r="L2476" s="24"/>
      <c r="M2476" s="24"/>
      <c r="N2476" s="24"/>
    </row>
    <row r="2477" spans="1:23">
      <c r="A2477" s="2"/>
      <c r="B2477" s="2"/>
      <c r="C2477" s="2"/>
      <c r="D2477" s="2">
        <f>ROUNDUP(6+F2477/2,0)</f>
        <v>7</v>
      </c>
      <c r="E2477" s="2" t="s">
        <v>6</v>
      </c>
      <c r="F2477" s="24">
        <f>LEN(G2477)</f>
        <v>2</v>
      </c>
      <c r="G2477" s="24" t="s">
        <v>273</v>
      </c>
      <c r="H2477" s="24">
        <f>H2475-400</f>
        <v>400</v>
      </c>
      <c r="I2477" s="24">
        <f>G2475+600</f>
        <v>9700</v>
      </c>
      <c r="J2477" s="24"/>
      <c r="K2477" s="24"/>
      <c r="L2477" s="24"/>
      <c r="M2477" s="24"/>
      <c r="N2477" s="24"/>
    </row>
    <row r="2480" spans="1:23">
      <c r="A2480" s="48" t="s">
        <v>383</v>
      </c>
      <c r="B2480" s="1" t="s">
        <v>804</v>
      </c>
      <c r="C2480" s="48"/>
      <c r="D2480" s="48" t="s">
        <v>449</v>
      </c>
      <c r="E2480" s="48">
        <v>52695</v>
      </c>
      <c r="F2480" s="6">
        <v>39622</v>
      </c>
      <c r="G2480" s="50">
        <v>0</v>
      </c>
      <c r="H2480" s="6">
        <v>0</v>
      </c>
      <c r="I2480" s="6">
        <v>0</v>
      </c>
      <c r="J2480" s="6">
        <v>10000</v>
      </c>
      <c r="K2480" s="6">
        <v>4100</v>
      </c>
      <c r="L2480" s="6">
        <v>1920</v>
      </c>
      <c r="M2480" s="6">
        <v>0</v>
      </c>
      <c r="N2480" s="6">
        <v>0</v>
      </c>
      <c r="O2480" s="6" t="e">
        <f ca="1">checksummeint(G2480,H2480,I2480,J2480,K2480,L2480,M2480,N2480)</f>
        <v>#NAME?</v>
      </c>
      <c r="P2480" s="48"/>
      <c r="Q2480" s="48"/>
      <c r="R2480" s="48"/>
      <c r="S2480" s="48"/>
      <c r="T2480" s="49"/>
      <c r="U2480" s="49"/>
      <c r="V2480" s="48"/>
      <c r="W2480" s="48"/>
    </row>
    <row r="2481" spans="1:23">
      <c r="A2481" s="1"/>
      <c r="B2481" s="48"/>
      <c r="C2481" s="48"/>
      <c r="D2481" s="48">
        <v>28</v>
      </c>
      <c r="E2481" s="48" t="s">
        <v>12</v>
      </c>
      <c r="F2481" s="6">
        <v>360</v>
      </c>
      <c r="G2481" s="50">
        <v>0</v>
      </c>
      <c r="H2481" s="6">
        <v>0</v>
      </c>
      <c r="I2481" s="6">
        <v>0</v>
      </c>
      <c r="J2481" s="6">
        <v>400</v>
      </c>
      <c r="K2481" s="6">
        <v>0</v>
      </c>
      <c r="L2481" s="6">
        <v>0</v>
      </c>
      <c r="M2481" s="6">
        <v>0</v>
      </c>
      <c r="N2481" s="6">
        <v>0</v>
      </c>
      <c r="O2481" s="6" t="s">
        <v>19</v>
      </c>
      <c r="P2481" s="48"/>
      <c r="Q2481" s="48"/>
      <c r="R2481" s="48"/>
      <c r="S2481" s="48"/>
      <c r="T2481" s="49"/>
      <c r="U2481" s="49"/>
      <c r="V2481" s="49"/>
      <c r="W2481" s="49"/>
    </row>
    <row r="2482" spans="1:23">
      <c r="A2482" s="48"/>
      <c r="B2482" s="48"/>
      <c r="C2482" s="48"/>
      <c r="D2482" s="48">
        <v>5</v>
      </c>
      <c r="E2482" s="48" t="s">
        <v>59</v>
      </c>
      <c r="F2482" s="6">
        <v>1</v>
      </c>
      <c r="G2482" s="50">
        <v>0</v>
      </c>
      <c r="P2482" s="48"/>
      <c r="Q2482" s="48"/>
      <c r="R2482" s="48"/>
      <c r="S2482" s="48"/>
      <c r="T2482" s="49"/>
      <c r="U2482" s="49"/>
      <c r="V2482" s="49"/>
      <c r="W2482" s="49"/>
    </row>
    <row r="2483" spans="1:23">
      <c r="A2483" s="48"/>
      <c r="B2483" s="48"/>
      <c r="C2483" s="48"/>
      <c r="D2483" s="48">
        <v>8</v>
      </c>
      <c r="E2483" s="48" t="s">
        <v>14</v>
      </c>
      <c r="F2483" s="6">
        <v>0</v>
      </c>
      <c r="G2483" s="50">
        <v>16</v>
      </c>
      <c r="H2483" s="6">
        <v>0</v>
      </c>
      <c r="I2483" s="6">
        <v>0</v>
      </c>
      <c r="J2483" s="6">
        <v>0</v>
      </c>
      <c r="M2483" s="44"/>
      <c r="N2483" s="45"/>
      <c r="O2483" s="46"/>
      <c r="P2483" s="48"/>
      <c r="Q2483" s="48"/>
      <c r="R2483" s="48"/>
      <c r="S2483" s="48"/>
      <c r="T2483" s="49"/>
      <c r="U2483" s="49"/>
      <c r="V2483" s="49"/>
      <c r="W2483" s="49"/>
    </row>
    <row r="2484" spans="1:23">
      <c r="A2484" s="48"/>
      <c r="B2484" s="48"/>
      <c r="C2484" s="48"/>
      <c r="D2484" s="48">
        <v>7</v>
      </c>
      <c r="E2484" s="48" t="s">
        <v>11</v>
      </c>
      <c r="F2484" s="6">
        <v>0</v>
      </c>
      <c r="G2484" s="50">
        <f>255*256+192</f>
        <v>65472</v>
      </c>
      <c r="H2484" s="50">
        <v>192</v>
      </c>
      <c r="I2484" s="6">
        <v>0</v>
      </c>
      <c r="P2484" s="48"/>
      <c r="Q2484" s="48"/>
      <c r="R2484" s="48"/>
      <c r="S2484" s="48"/>
      <c r="T2484" s="49"/>
      <c r="U2484" s="49"/>
      <c r="V2484" s="49"/>
      <c r="W2484" s="49"/>
    </row>
    <row r="2485" spans="1:23">
      <c r="A2485" s="48"/>
      <c r="B2485" s="48"/>
      <c r="C2485" s="48"/>
      <c r="D2485" s="48">
        <v>7</v>
      </c>
      <c r="E2485" s="48" t="s">
        <v>11</v>
      </c>
      <c r="F2485" s="6">
        <v>0</v>
      </c>
      <c r="G2485" s="50">
        <v>0</v>
      </c>
      <c r="H2485" s="6">
        <v>0</v>
      </c>
      <c r="I2485" s="6">
        <v>0</v>
      </c>
      <c r="P2485" s="48"/>
      <c r="Q2485" s="48"/>
      <c r="R2485" s="48"/>
      <c r="S2485" s="48"/>
      <c r="T2485" s="49"/>
      <c r="U2485" s="49"/>
      <c r="V2485" s="49"/>
      <c r="W2485" s="49"/>
    </row>
    <row r="2486" spans="1:23">
      <c r="A2486" s="48" t="s">
        <v>286</v>
      </c>
      <c r="B2486" s="4">
        <v>10</v>
      </c>
      <c r="C2486" s="48"/>
      <c r="D2486" s="48">
        <v>4</v>
      </c>
      <c r="E2486" s="48" t="s">
        <v>15</v>
      </c>
      <c r="F2486" s="6">
        <v>0</v>
      </c>
      <c r="G2486" s="50"/>
      <c r="P2486" s="48"/>
      <c r="Q2486" s="48"/>
      <c r="R2486" s="48"/>
      <c r="S2486" s="48"/>
      <c r="T2486" s="49"/>
      <c r="U2486" s="49"/>
      <c r="V2486" s="49"/>
      <c r="W2486" s="49"/>
    </row>
    <row r="2487" spans="1:23">
      <c r="A2487" s="48" t="s">
        <v>287</v>
      </c>
      <c r="B2487" s="4">
        <v>20</v>
      </c>
      <c r="C2487" s="48"/>
      <c r="D2487" s="48">
        <v>4</v>
      </c>
      <c r="E2487" s="48" t="s">
        <v>15</v>
      </c>
      <c r="F2487" s="6">
        <v>1</v>
      </c>
      <c r="G2487" s="50"/>
      <c r="P2487" s="48"/>
      <c r="Q2487" s="48"/>
      <c r="R2487" s="48"/>
      <c r="S2487" s="48"/>
      <c r="T2487" s="49"/>
      <c r="U2487" s="49"/>
      <c r="V2487" s="49"/>
      <c r="W2487" s="49"/>
    </row>
    <row r="2488" spans="1:23">
      <c r="A2488" s="48" t="s">
        <v>288</v>
      </c>
      <c r="B2488" s="4">
        <v>5</v>
      </c>
      <c r="C2488" s="48"/>
      <c r="D2488" s="48">
        <v>4</v>
      </c>
      <c r="E2488" s="1" t="s">
        <v>448</v>
      </c>
      <c r="F2488" s="6">
        <v>3</v>
      </c>
      <c r="G2488" s="50"/>
      <c r="I2488" s="6">
        <v>50</v>
      </c>
      <c r="J2488" s="6">
        <v>50</v>
      </c>
      <c r="P2488" s="48"/>
      <c r="Q2488" s="48"/>
      <c r="R2488" s="48"/>
      <c r="S2488" s="48"/>
      <c r="T2488" s="49"/>
      <c r="U2488" s="49"/>
      <c r="V2488" s="49"/>
      <c r="W2488" s="49"/>
    </row>
    <row r="2489" spans="1:23">
      <c r="A2489" s="48" t="s">
        <v>289</v>
      </c>
      <c r="B2489" s="4">
        <v>6</v>
      </c>
      <c r="C2489" s="48"/>
      <c r="D2489" s="48"/>
      <c r="E2489" s="48" t="s">
        <v>113</v>
      </c>
      <c r="F2489" s="6">
        <v>200</v>
      </c>
      <c r="G2489" s="50">
        <v>800</v>
      </c>
      <c r="H2489" s="50">
        <v>2800</v>
      </c>
      <c r="I2489" s="50">
        <f>G2489+W2489*I2488</f>
        <v>9300</v>
      </c>
      <c r="J2489" s="50">
        <f>H2489-W2490*J2488</f>
        <v>550</v>
      </c>
      <c r="K2489" s="50" t="s">
        <v>22</v>
      </c>
      <c r="L2489" s="50">
        <v>-1</v>
      </c>
      <c r="M2489" s="49">
        <v>0</v>
      </c>
      <c r="N2489" s="49">
        <f>COUNT(S2489:CF2489)</f>
        <v>5</v>
      </c>
      <c r="O2489" s="49">
        <v>0</v>
      </c>
      <c r="P2489" s="49">
        <v>0</v>
      </c>
      <c r="Q2489" s="49">
        <v>3</v>
      </c>
      <c r="R2489" s="49">
        <v>0</v>
      </c>
      <c r="S2489" s="49">
        <v>0</v>
      </c>
      <c r="T2489" s="49">
        <f>B2487*B2489-B2487*B2488</f>
        <v>20</v>
      </c>
      <c r="U2489" s="49">
        <f>B2487*B2489+B2486*B2488-(B2486+B2487)*B2489*(2*B2493-1)</f>
        <v>61.999999999999986</v>
      </c>
      <c r="V2489" s="49">
        <f>B2487*B2489+B2486*B2488-(B2486+B2487)*B2488*(2*B2492-1)</f>
        <v>79.999999999999986</v>
      </c>
      <c r="W2489" s="49">
        <f>B2486*B2488+B2487*B2489</f>
        <v>170</v>
      </c>
    </row>
    <row r="2490" spans="1:23">
      <c r="A2490" s="48" t="s">
        <v>290</v>
      </c>
      <c r="B2490" s="4">
        <v>2.5</v>
      </c>
      <c r="C2490" s="48"/>
      <c r="D2490" s="48">
        <v>8</v>
      </c>
      <c r="E2490" s="48" t="s">
        <v>14</v>
      </c>
      <c r="F2490" s="6">
        <v>0</v>
      </c>
      <c r="G2490" s="50">
        <v>40</v>
      </c>
      <c r="H2490" s="6">
        <v>0</v>
      </c>
      <c r="I2490" s="6">
        <v>0</v>
      </c>
      <c r="J2490" s="6">
        <v>0</v>
      </c>
      <c r="K2490" s="50" t="s">
        <v>21</v>
      </c>
      <c r="L2490" s="50">
        <v>-1</v>
      </c>
      <c r="P2490" s="48"/>
      <c r="Q2490" s="50">
        <v>2</v>
      </c>
      <c r="R2490" s="49"/>
      <c r="S2490" s="49">
        <v>0</v>
      </c>
      <c r="T2490" s="49">
        <f>ROUND(T2489*B2491/((2-2*B2493)*B2489),2)</f>
        <v>8.33</v>
      </c>
      <c r="U2490" s="49">
        <f>B2487*B2491+(B2486*B2490*(B2488-B2489*(2*B2493-1)))/((2-2*B2492)*B2488)</f>
        <v>37.5</v>
      </c>
      <c r="V2490" s="49">
        <f>W2490</f>
        <v>45</v>
      </c>
      <c r="W2490" s="49">
        <f>B2486*B2490+B2487*B2491</f>
        <v>45</v>
      </c>
    </row>
    <row r="2491" spans="1:23">
      <c r="A2491" s="48" t="s">
        <v>291</v>
      </c>
      <c r="B2491" s="4">
        <v>1</v>
      </c>
      <c r="C2491" s="48"/>
      <c r="D2491" s="48">
        <v>4</v>
      </c>
      <c r="E2491" s="48" t="s">
        <v>15</v>
      </c>
      <c r="F2491" s="6">
        <v>2</v>
      </c>
      <c r="G2491" s="50"/>
      <c r="H2491" s="50"/>
      <c r="I2491" s="50"/>
      <c r="J2491" s="50"/>
      <c r="K2491" s="50"/>
      <c r="L2491" s="50"/>
      <c r="P2491" s="48"/>
      <c r="Q2491" s="49"/>
      <c r="R2491" s="49"/>
      <c r="S2491" s="49"/>
      <c r="T2491" s="49"/>
      <c r="U2491" s="49"/>
      <c r="V2491" s="49"/>
      <c r="W2491" s="49"/>
    </row>
    <row r="2492" spans="1:23">
      <c r="A2492" s="48" t="s">
        <v>292</v>
      </c>
      <c r="B2492" s="4">
        <v>0.8</v>
      </c>
      <c r="C2492" s="48"/>
      <c r="D2492" s="48">
        <v>4</v>
      </c>
      <c r="E2492" s="48" t="s">
        <v>15</v>
      </c>
      <c r="F2492" s="6">
        <v>4</v>
      </c>
      <c r="G2492" s="49"/>
      <c r="H2492" s="49"/>
      <c r="I2492" s="49"/>
      <c r="J2492" s="49"/>
      <c r="K2492" s="49"/>
      <c r="L2492" s="49"/>
      <c r="M2492" s="49"/>
      <c r="N2492" s="49"/>
      <c r="O2492" s="49"/>
      <c r="P2492" s="49"/>
      <c r="Q2492" s="49"/>
      <c r="R2492" s="49"/>
      <c r="S2492" s="48"/>
      <c r="T2492" s="49"/>
      <c r="U2492" s="49"/>
      <c r="V2492" s="49"/>
      <c r="W2492" s="49"/>
    </row>
    <row r="2493" spans="1:23">
      <c r="A2493" s="48" t="s">
        <v>293</v>
      </c>
      <c r="B2493" s="4">
        <v>0.8</v>
      </c>
      <c r="C2493" s="48"/>
      <c r="D2493" s="49">
        <f>F2493*2+4</f>
        <v>14</v>
      </c>
      <c r="E2493" s="49" t="s">
        <v>1</v>
      </c>
      <c r="F2493" s="50">
        <v>5</v>
      </c>
      <c r="G2493" s="50">
        <f>G2489</f>
        <v>800</v>
      </c>
      <c r="H2493" s="50">
        <f>H2489</f>
        <v>2800</v>
      </c>
      <c r="I2493" s="50">
        <f>G2493+I2488*T2489</f>
        <v>1800</v>
      </c>
      <c r="J2493" s="50">
        <f>H2493-J2488*T2490</f>
        <v>2383.5</v>
      </c>
      <c r="K2493" s="50">
        <f>G2493+I2488*U2489</f>
        <v>3899.9999999999991</v>
      </c>
      <c r="L2493" s="50">
        <f>H2493-J2488*U2490</f>
        <v>925</v>
      </c>
      <c r="M2493" s="50">
        <f>G2493+I2488*V2489</f>
        <v>4799.9999999999991</v>
      </c>
      <c r="N2493" s="50">
        <f>H2493-J2488*V2490</f>
        <v>550</v>
      </c>
      <c r="O2493" s="50">
        <f>G2493+I2488*W2489</f>
        <v>9300</v>
      </c>
      <c r="P2493" s="49">
        <f>H2493-J2488*W2490</f>
        <v>550</v>
      </c>
      <c r="Q2493" s="49"/>
      <c r="R2493" s="49"/>
      <c r="S2493" s="48"/>
      <c r="T2493" s="48"/>
      <c r="U2493" s="48"/>
      <c r="V2493" s="49"/>
      <c r="W2493" s="49"/>
    </row>
    <row r="2494" spans="1:23">
      <c r="A2494" s="49"/>
      <c r="B2494" s="49"/>
      <c r="C2494" s="49"/>
      <c r="D2494" s="48">
        <v>4</v>
      </c>
      <c r="E2494" s="48" t="s">
        <v>15</v>
      </c>
      <c r="F2494" s="6">
        <v>1</v>
      </c>
      <c r="G2494" s="50"/>
      <c r="H2494" s="50"/>
      <c r="I2494" s="50"/>
      <c r="J2494" s="50"/>
      <c r="K2494" s="50"/>
      <c r="L2494" s="50"/>
      <c r="P2494" s="48"/>
      <c r="Q2494" s="49"/>
      <c r="R2494" s="49"/>
      <c r="S2494" s="49"/>
      <c r="T2494" s="48"/>
      <c r="U2494" s="48"/>
      <c r="V2494" s="49"/>
      <c r="W2494" s="49"/>
    </row>
    <row r="2495" spans="1:23">
      <c r="A2495" s="49"/>
      <c r="B2495" s="49"/>
      <c r="C2495" s="49"/>
      <c r="D2495" s="49">
        <v>7</v>
      </c>
      <c r="E2495" s="49" t="s">
        <v>0</v>
      </c>
      <c r="F2495" s="50">
        <f>J2493-50</f>
        <v>2333.5</v>
      </c>
      <c r="G2495" s="50">
        <f>I2493-50</f>
        <v>1750</v>
      </c>
      <c r="H2495" s="50">
        <f t="shared" ref="H2495:I2498" si="146">F2495+100</f>
        <v>2433.5</v>
      </c>
      <c r="I2495" s="50">
        <f t="shared" si="146"/>
        <v>1850</v>
      </c>
      <c r="J2495" s="50"/>
      <c r="K2495" s="50"/>
      <c r="L2495" s="50"/>
      <c r="M2495" s="50"/>
      <c r="N2495" s="50"/>
      <c r="O2495" s="50"/>
      <c r="P2495" s="49"/>
      <c r="Q2495" s="49"/>
      <c r="R2495" s="49"/>
      <c r="S2495" s="49"/>
      <c r="T2495" s="48"/>
      <c r="U2495" s="48"/>
      <c r="V2495" s="49"/>
      <c r="W2495" s="49"/>
    </row>
    <row r="2496" spans="1:23">
      <c r="A2496" s="49"/>
      <c r="B2496" s="49"/>
      <c r="C2496" s="49"/>
      <c r="D2496" s="49">
        <v>7</v>
      </c>
      <c r="E2496" s="49" t="s">
        <v>0</v>
      </c>
      <c r="F2496" s="50">
        <f>L2493-50</f>
        <v>875</v>
      </c>
      <c r="G2496" s="50">
        <f>K2493-50</f>
        <v>3849.9999999999991</v>
      </c>
      <c r="H2496" s="50">
        <f t="shared" si="146"/>
        <v>975</v>
      </c>
      <c r="I2496" s="50">
        <f t="shared" si="146"/>
        <v>3949.9999999999991</v>
      </c>
      <c r="J2496" s="50"/>
      <c r="K2496" s="50"/>
      <c r="L2496" s="50"/>
      <c r="M2496" s="50"/>
      <c r="N2496" s="50"/>
      <c r="O2496" s="50"/>
      <c r="P2496" s="49"/>
      <c r="Q2496" s="49"/>
      <c r="R2496" s="49"/>
      <c r="S2496" s="49"/>
      <c r="T2496" s="49"/>
      <c r="U2496" s="49"/>
      <c r="V2496" s="49"/>
      <c r="W2496" s="49"/>
    </row>
    <row r="2497" spans="1:25">
      <c r="A2497" s="49"/>
      <c r="B2497" s="49"/>
      <c r="C2497" s="49"/>
      <c r="D2497" s="49">
        <v>7</v>
      </c>
      <c r="E2497" s="49" t="s">
        <v>0</v>
      </c>
      <c r="F2497" s="50">
        <f>N2493-50</f>
        <v>500</v>
      </c>
      <c r="G2497" s="50">
        <f>M2493-50</f>
        <v>4749.9999999999991</v>
      </c>
      <c r="H2497" s="50">
        <f t="shared" si="146"/>
        <v>600</v>
      </c>
      <c r="I2497" s="50">
        <f t="shared" si="146"/>
        <v>4849.9999999999991</v>
      </c>
      <c r="K2497" s="50"/>
      <c r="L2497" s="50"/>
      <c r="M2497" s="50"/>
      <c r="N2497" s="50"/>
      <c r="O2497" s="50"/>
      <c r="P2497" s="49"/>
      <c r="Q2497" s="49"/>
      <c r="R2497" s="49"/>
      <c r="S2497" s="49"/>
      <c r="T2497" s="48"/>
      <c r="U2497" s="48"/>
      <c r="V2497" s="49"/>
      <c r="W2497" s="49"/>
    </row>
    <row r="2498" spans="1:25">
      <c r="A2498" s="49"/>
      <c r="B2498" s="49"/>
      <c r="C2498" s="49"/>
      <c r="D2498" s="49">
        <v>7</v>
      </c>
      <c r="E2498" s="49" t="s">
        <v>0</v>
      </c>
      <c r="F2498" s="50">
        <f>P2493-50</f>
        <v>500</v>
      </c>
      <c r="G2498" s="50">
        <f>O2493-50</f>
        <v>9250</v>
      </c>
      <c r="H2498" s="50">
        <f t="shared" si="146"/>
        <v>600</v>
      </c>
      <c r="I2498" s="50">
        <f t="shared" si="146"/>
        <v>9350</v>
      </c>
      <c r="J2498" s="50"/>
      <c r="K2498" s="50"/>
      <c r="L2498" s="50"/>
      <c r="M2498" s="50"/>
      <c r="N2498" s="50"/>
      <c r="O2498" s="50"/>
      <c r="P2498" s="49"/>
      <c r="Q2498" s="49"/>
      <c r="R2498" s="49"/>
      <c r="S2498" s="49"/>
      <c r="T2498" s="48"/>
      <c r="U2498" s="48"/>
      <c r="V2498" s="49"/>
      <c r="W2498" s="49"/>
    </row>
    <row r="2499" spans="1:25">
      <c r="A2499" s="49"/>
      <c r="B2499" s="49"/>
      <c r="C2499" s="49"/>
      <c r="D2499" s="49">
        <f>ROUNDUP(6+F2499/2,0)</f>
        <v>11</v>
      </c>
      <c r="E2499" s="49" t="s">
        <v>6</v>
      </c>
      <c r="F2499" s="50">
        <f>LEN(G2499)</f>
        <v>10</v>
      </c>
      <c r="G2499" s="50" t="s">
        <v>732</v>
      </c>
      <c r="H2499" s="50">
        <f t="shared" ref="H2499:I2501" si="147">H2495</f>
        <v>2433.5</v>
      </c>
      <c r="I2499" s="50">
        <f t="shared" si="147"/>
        <v>1850</v>
      </c>
      <c r="J2499" s="50"/>
      <c r="K2499" s="50"/>
      <c r="L2499" s="50"/>
      <c r="M2499" s="50"/>
      <c r="N2499" s="50"/>
      <c r="O2499" s="50"/>
      <c r="P2499" s="49"/>
      <c r="Q2499" s="49"/>
      <c r="R2499" s="49"/>
      <c r="S2499" s="49"/>
      <c r="T2499" s="48"/>
      <c r="U2499" s="48"/>
      <c r="V2499" s="49"/>
      <c r="W2499" s="49"/>
    </row>
    <row r="2500" spans="1:25">
      <c r="A2500" s="49"/>
      <c r="B2500" s="49"/>
      <c r="C2500" s="49"/>
      <c r="D2500" s="49">
        <f>ROUNDUP(6+F2500/2,0)</f>
        <v>11</v>
      </c>
      <c r="E2500" s="49" t="s">
        <v>6</v>
      </c>
      <c r="F2500" s="50">
        <f>LEN(G2500)</f>
        <v>10</v>
      </c>
      <c r="G2500" s="50" t="s">
        <v>734</v>
      </c>
      <c r="H2500" s="50">
        <f t="shared" si="147"/>
        <v>975</v>
      </c>
      <c r="I2500" s="50">
        <f t="shared" si="147"/>
        <v>3949.9999999999991</v>
      </c>
      <c r="J2500" s="50"/>
      <c r="K2500" s="50"/>
      <c r="L2500" s="50"/>
      <c r="M2500" s="50"/>
      <c r="N2500" s="50"/>
      <c r="O2500" s="50"/>
      <c r="P2500" s="49"/>
      <c r="Q2500" s="49"/>
      <c r="R2500" s="49"/>
      <c r="S2500" s="49"/>
      <c r="T2500" s="48"/>
      <c r="U2500" s="48"/>
      <c r="V2500" s="49"/>
      <c r="W2500" s="49"/>
    </row>
    <row r="2501" spans="1:25" s="48" customFormat="1">
      <c r="A2501" s="49"/>
      <c r="B2501" s="49"/>
      <c r="C2501" s="49"/>
      <c r="D2501" s="49">
        <f>ROUNDUP(6+F2501/2,0)</f>
        <v>11</v>
      </c>
      <c r="E2501" s="49" t="s">
        <v>6</v>
      </c>
      <c r="F2501" s="50">
        <f>LEN(G2501)</f>
        <v>10</v>
      </c>
      <c r="G2501" s="50" t="s">
        <v>733</v>
      </c>
      <c r="H2501" s="50">
        <f t="shared" si="147"/>
        <v>600</v>
      </c>
      <c r="I2501" s="50">
        <f t="shared" si="147"/>
        <v>4849.9999999999991</v>
      </c>
      <c r="J2501" s="50"/>
      <c r="K2501" s="50"/>
      <c r="L2501" s="50"/>
      <c r="M2501" s="50"/>
      <c r="N2501" s="50"/>
      <c r="O2501" s="50"/>
      <c r="P2501" s="49"/>
      <c r="Q2501" s="49"/>
      <c r="R2501" s="49"/>
      <c r="S2501" s="49"/>
      <c r="V2501" s="49"/>
      <c r="W2501" s="49"/>
    </row>
    <row r="2502" spans="1:25" s="48" customFormat="1">
      <c r="C2502" s="49"/>
      <c r="D2502" s="48">
        <v>4</v>
      </c>
      <c r="E2502" s="48" t="s">
        <v>15</v>
      </c>
      <c r="F2502" s="6">
        <v>3</v>
      </c>
      <c r="G2502" s="50"/>
      <c r="H2502" s="50"/>
      <c r="I2502" s="50"/>
      <c r="J2502" s="50"/>
      <c r="K2502" s="50"/>
      <c r="L2502" s="50"/>
      <c r="M2502" s="50"/>
      <c r="N2502" s="50"/>
      <c r="O2502" s="50"/>
      <c r="P2502" s="49"/>
      <c r="V2502" s="49"/>
      <c r="W2502" s="49"/>
    </row>
    <row r="2503" spans="1:25" s="48" customFormat="1">
      <c r="C2503" s="49"/>
      <c r="D2503" s="48">
        <v>64</v>
      </c>
      <c r="E2503" s="49" t="s">
        <v>114</v>
      </c>
      <c r="F2503" s="49">
        <v>200</v>
      </c>
      <c r="G2503" s="49">
        <f>G2493</f>
        <v>800</v>
      </c>
      <c r="H2503" s="49">
        <f>H2489+900</f>
        <v>3700</v>
      </c>
      <c r="I2503" s="49">
        <f>K2493</f>
        <v>3899.9999999999991</v>
      </c>
      <c r="J2503" s="49">
        <f>H2503</f>
        <v>3700</v>
      </c>
      <c r="K2503" s="49">
        <f>I2493</f>
        <v>1800</v>
      </c>
      <c r="L2503" s="49">
        <f>J2503</f>
        <v>3700</v>
      </c>
      <c r="V2503" s="49"/>
      <c r="W2503" s="49"/>
    </row>
    <row r="2504" spans="1:25" s="48" customFormat="1">
      <c r="C2504" s="49"/>
      <c r="D2504" s="48">
        <v>64</v>
      </c>
      <c r="E2504" s="49" t="s">
        <v>114</v>
      </c>
      <c r="F2504" s="49">
        <v>200</v>
      </c>
      <c r="G2504" s="49">
        <f>K2493</f>
        <v>3899.9999999999991</v>
      </c>
      <c r="H2504" s="49">
        <f>H2503</f>
        <v>3700</v>
      </c>
      <c r="I2504" s="49">
        <f>O2493</f>
        <v>9300</v>
      </c>
      <c r="J2504" s="49">
        <f>H2504</f>
        <v>3700</v>
      </c>
      <c r="K2504" s="49">
        <f>M2493</f>
        <v>4799.9999999999991</v>
      </c>
      <c r="L2504" s="49">
        <f>J2504</f>
        <v>3700</v>
      </c>
      <c r="V2504" s="49"/>
      <c r="W2504" s="49"/>
    </row>
    <row r="2505" spans="1:25" s="48" customFormat="1">
      <c r="C2505" s="49"/>
      <c r="E2505" s="49" t="s">
        <v>515</v>
      </c>
      <c r="F2505" s="3" t="s">
        <v>736</v>
      </c>
      <c r="G2505" s="49">
        <f>G2493/2+I2493/2-500</f>
        <v>800</v>
      </c>
      <c r="H2505" s="49">
        <f>H2503-500</f>
        <v>3200</v>
      </c>
      <c r="I2505" s="49">
        <f>K2493/2+M2493/2-600</f>
        <v>3749.9999999999991</v>
      </c>
      <c r="J2505" s="49"/>
      <c r="K2505" s="49"/>
      <c r="L2505" s="49"/>
      <c r="V2505" s="49"/>
      <c r="W2505" s="49"/>
    </row>
    <row r="2506" spans="1:25">
      <c r="A2506" s="48"/>
      <c r="B2506" s="48"/>
      <c r="C2506" s="49"/>
      <c r="D2506" s="48"/>
      <c r="E2506" s="49" t="s">
        <v>515</v>
      </c>
      <c r="F2506" s="3" t="s">
        <v>737</v>
      </c>
      <c r="G2506" s="49">
        <f>I2493/2+K2493/2-600</f>
        <v>2249.9999999999995</v>
      </c>
      <c r="H2506" s="49">
        <f>H2503-400</f>
        <v>3300</v>
      </c>
      <c r="I2506" s="49">
        <f>M2493/2+O2493/2-300</f>
        <v>6750</v>
      </c>
      <c r="J2506" s="49"/>
      <c r="K2506" s="49"/>
      <c r="L2506" s="49"/>
      <c r="M2506" s="48"/>
      <c r="N2506" s="48"/>
      <c r="O2506" s="48"/>
      <c r="P2506" s="48"/>
      <c r="Q2506" s="48"/>
      <c r="R2506" s="48"/>
      <c r="S2506" s="48"/>
      <c r="T2506" s="48"/>
      <c r="U2506" s="48"/>
      <c r="V2506" s="49"/>
      <c r="W2506" s="49"/>
    </row>
    <row r="2507" spans="1:25">
      <c r="D2507" s="48"/>
      <c r="E2507" s="49" t="s">
        <v>515</v>
      </c>
      <c r="F2507" s="3" t="s">
        <v>735</v>
      </c>
      <c r="G2507" s="49">
        <f>G2493/2+I2493/2-100</f>
        <v>1200</v>
      </c>
      <c r="H2507" s="49">
        <f>H2503</f>
        <v>3700</v>
      </c>
      <c r="I2507" s="49">
        <f>I2493/2+K2493/2-100</f>
        <v>2749.9999999999995</v>
      </c>
      <c r="J2507" s="49">
        <f>K2493/2+M2493/2-100</f>
        <v>4249.9999999999991</v>
      </c>
      <c r="K2507" s="49">
        <f>M2493/2+O2493/2-100</f>
        <v>6950</v>
      </c>
      <c r="L2507" s="49"/>
      <c r="M2507" s="48"/>
      <c r="N2507" s="48"/>
      <c r="O2507" s="48"/>
      <c r="P2507" s="48"/>
      <c r="Q2507" s="49"/>
      <c r="R2507" s="49"/>
      <c r="S2507" s="49"/>
      <c r="T2507" s="49"/>
      <c r="U2507" s="49"/>
      <c r="V2507" s="49"/>
      <c r="W2507" s="49"/>
    </row>
    <row r="2508" spans="1:25" s="48" customFormat="1">
      <c r="E2508" s="49"/>
      <c r="F2508" s="3"/>
      <c r="G2508" s="49"/>
      <c r="H2508" s="49"/>
      <c r="I2508" s="49"/>
      <c r="J2508" s="49"/>
      <c r="K2508" s="49"/>
      <c r="L2508" s="49"/>
      <c r="Q2508" s="49"/>
      <c r="R2508" s="49"/>
      <c r="S2508" s="49"/>
      <c r="T2508" s="49"/>
      <c r="U2508" s="49"/>
      <c r="V2508" s="49"/>
      <c r="W2508" s="49"/>
    </row>
    <row r="2509" spans="1:25">
      <c r="A2509" s="48" t="s">
        <v>383</v>
      </c>
      <c r="B2509" s="1" t="s">
        <v>805</v>
      </c>
      <c r="D2509" s="48" t="s">
        <v>449</v>
      </c>
      <c r="E2509" s="48">
        <v>52695</v>
      </c>
      <c r="F2509" s="6">
        <v>39622</v>
      </c>
      <c r="G2509" s="6">
        <v>0</v>
      </c>
      <c r="H2509" s="6">
        <v>0</v>
      </c>
      <c r="I2509" s="6">
        <v>0</v>
      </c>
      <c r="J2509" s="6">
        <v>5800</v>
      </c>
      <c r="K2509" s="6">
        <v>3300</v>
      </c>
      <c r="L2509" s="6">
        <v>1920</v>
      </c>
      <c r="M2509" s="6">
        <v>0</v>
      </c>
      <c r="N2509" s="6">
        <v>0</v>
      </c>
      <c r="O2509" s="6" t="e">
        <f ca="1">checksummeint(G2509,H2509,I2509,J2509,K2509,L2509,M2509,N2509)</f>
        <v>#NAME?</v>
      </c>
      <c r="P2509" s="48"/>
      <c r="Q2509" s="48"/>
      <c r="R2509" s="48"/>
      <c r="S2509" s="48"/>
      <c r="T2509" s="49"/>
      <c r="U2509" s="49"/>
      <c r="V2509" s="48"/>
      <c r="W2509" s="48"/>
      <c r="X2509" s="49"/>
      <c r="Y2509" s="49"/>
    </row>
    <row r="2510" spans="1:25">
      <c r="A2510" s="1"/>
      <c r="D2510" s="48">
        <v>28</v>
      </c>
      <c r="E2510" s="48" t="s">
        <v>12</v>
      </c>
      <c r="F2510" s="6">
        <v>360</v>
      </c>
      <c r="G2510" s="6">
        <v>0</v>
      </c>
      <c r="H2510" s="6">
        <v>0</v>
      </c>
      <c r="I2510" s="6">
        <v>0</v>
      </c>
      <c r="J2510" s="6">
        <v>400</v>
      </c>
      <c r="K2510" s="6">
        <v>0</v>
      </c>
      <c r="L2510" s="6">
        <v>0</v>
      </c>
      <c r="M2510" s="6">
        <v>0</v>
      </c>
      <c r="N2510" s="6">
        <v>0</v>
      </c>
      <c r="O2510" s="6" t="s">
        <v>19</v>
      </c>
      <c r="P2510" s="48"/>
      <c r="Q2510" s="48"/>
      <c r="R2510" s="48"/>
      <c r="S2510" s="48"/>
      <c r="T2510" s="49"/>
      <c r="U2510" s="49"/>
      <c r="V2510" s="49"/>
      <c r="W2510" s="49"/>
      <c r="X2510" s="49"/>
      <c r="Y2510" s="49"/>
    </row>
    <row r="2511" spans="1:25">
      <c r="D2511" s="48">
        <v>5</v>
      </c>
      <c r="E2511" s="48" t="s">
        <v>59</v>
      </c>
      <c r="F2511" s="6">
        <v>1</v>
      </c>
      <c r="G2511" s="6">
        <v>0</v>
      </c>
      <c r="P2511" s="48"/>
      <c r="Q2511" s="48"/>
      <c r="R2511" s="48"/>
      <c r="S2511" s="48"/>
      <c r="T2511" s="49"/>
      <c r="U2511" s="49"/>
      <c r="V2511" s="49"/>
      <c r="W2511" s="49"/>
      <c r="X2511" s="49"/>
      <c r="Y2511" s="49"/>
    </row>
    <row r="2512" spans="1:25">
      <c r="D2512" s="48">
        <v>8</v>
      </c>
      <c r="E2512" s="48" t="s">
        <v>14</v>
      </c>
      <c r="F2512" s="6">
        <v>0</v>
      </c>
      <c r="G2512" s="6">
        <v>16</v>
      </c>
      <c r="H2512" s="6">
        <v>0</v>
      </c>
      <c r="I2512" s="6">
        <v>0</v>
      </c>
      <c r="J2512" s="6">
        <v>0</v>
      </c>
      <c r="M2512" s="44"/>
      <c r="N2512" s="45"/>
      <c r="O2512" s="46"/>
      <c r="P2512" s="48"/>
      <c r="Q2512" s="48"/>
      <c r="R2512" s="48"/>
      <c r="S2512" s="48"/>
      <c r="T2512" s="49"/>
      <c r="U2512" s="49"/>
      <c r="V2512" s="49"/>
      <c r="W2512" s="49"/>
      <c r="X2512" s="49"/>
      <c r="Y2512" s="49"/>
    </row>
    <row r="2513" spans="1:25">
      <c r="D2513" s="48">
        <v>7</v>
      </c>
      <c r="E2513" s="48" t="s">
        <v>11</v>
      </c>
      <c r="F2513" s="6">
        <v>0</v>
      </c>
      <c r="G2513" s="50">
        <f>255*256+192</f>
        <v>65472</v>
      </c>
      <c r="H2513" s="50">
        <v>192</v>
      </c>
      <c r="I2513" s="6">
        <v>0</v>
      </c>
      <c r="P2513" s="48"/>
      <c r="Q2513" s="48"/>
      <c r="R2513" s="48"/>
      <c r="S2513" s="48"/>
      <c r="T2513" s="49"/>
      <c r="U2513" s="49"/>
      <c r="V2513" s="49"/>
      <c r="W2513" s="49"/>
      <c r="X2513" s="49"/>
      <c r="Y2513" s="49"/>
    </row>
    <row r="2514" spans="1:25">
      <c r="D2514" s="48">
        <v>7</v>
      </c>
      <c r="E2514" s="48" t="s">
        <v>11</v>
      </c>
      <c r="F2514" s="6">
        <v>0</v>
      </c>
      <c r="G2514" s="6">
        <v>0</v>
      </c>
      <c r="H2514" s="6">
        <v>0</v>
      </c>
      <c r="I2514" s="6">
        <v>0</v>
      </c>
      <c r="P2514" s="48"/>
      <c r="Q2514" s="48"/>
      <c r="R2514" s="48"/>
      <c r="S2514" s="48"/>
      <c r="T2514" s="49"/>
      <c r="U2514" s="49"/>
      <c r="V2514" s="49"/>
      <c r="W2514" s="49"/>
      <c r="X2514" s="49"/>
      <c r="Y2514" s="49"/>
    </row>
    <row r="2515" spans="1:25">
      <c r="A2515" t="s">
        <v>286</v>
      </c>
      <c r="B2515" s="4">
        <v>20</v>
      </c>
      <c r="D2515" s="48">
        <v>4</v>
      </c>
      <c r="E2515" s="48" t="s">
        <v>15</v>
      </c>
      <c r="F2515" s="6">
        <v>0</v>
      </c>
      <c r="G2515" s="50"/>
      <c r="P2515" s="48"/>
      <c r="Q2515" s="48"/>
      <c r="R2515" s="48"/>
      <c r="S2515" s="48"/>
      <c r="T2515" s="49"/>
      <c r="U2515" s="49"/>
      <c r="V2515" s="49"/>
      <c r="W2515" s="49"/>
      <c r="X2515" s="49"/>
      <c r="Y2515" s="49"/>
    </row>
    <row r="2516" spans="1:25">
      <c r="A2516" t="s">
        <v>287</v>
      </c>
      <c r="B2516" s="4">
        <v>30</v>
      </c>
      <c r="D2516" s="48">
        <v>4</v>
      </c>
      <c r="E2516" s="48" t="s">
        <v>15</v>
      </c>
      <c r="F2516" s="6">
        <v>1</v>
      </c>
      <c r="P2516" s="48"/>
      <c r="Q2516" s="48"/>
      <c r="R2516" s="48"/>
      <c r="S2516" s="48"/>
      <c r="T2516" s="49"/>
      <c r="U2516" s="49"/>
      <c r="V2516" s="49"/>
      <c r="W2516" s="49"/>
      <c r="X2516" s="49"/>
      <c r="Y2516" s="49"/>
    </row>
    <row r="2517" spans="1:25">
      <c r="A2517" t="s">
        <v>288</v>
      </c>
      <c r="B2517" s="4">
        <v>7</v>
      </c>
      <c r="D2517" s="48">
        <v>4</v>
      </c>
      <c r="E2517" s="1" t="s">
        <v>448</v>
      </c>
      <c r="F2517" s="6">
        <v>3</v>
      </c>
      <c r="G2517" s="50"/>
      <c r="I2517" s="6">
        <v>8</v>
      </c>
      <c r="J2517" s="6">
        <v>10</v>
      </c>
      <c r="P2517" s="48"/>
      <c r="Q2517" s="48"/>
      <c r="R2517" s="48"/>
      <c r="S2517" s="48"/>
      <c r="T2517" s="49"/>
      <c r="U2517" s="49"/>
      <c r="V2517" s="49"/>
      <c r="W2517" s="49"/>
      <c r="X2517" s="49"/>
      <c r="Y2517" s="49"/>
    </row>
    <row r="2518" spans="1:25">
      <c r="A2518" t="s">
        <v>289</v>
      </c>
      <c r="B2518" s="4">
        <v>13</v>
      </c>
      <c r="D2518" s="48"/>
      <c r="E2518" s="48" t="s">
        <v>113</v>
      </c>
      <c r="F2518" s="6">
        <v>200</v>
      </c>
      <c r="G2518" s="50">
        <v>800</v>
      </c>
      <c r="H2518" s="50">
        <v>2900</v>
      </c>
      <c r="I2518" s="50">
        <f>G2518+W2518*I2517</f>
        <v>5040</v>
      </c>
      <c r="J2518" s="50">
        <f>H2518-W2519*J2517</f>
        <v>500</v>
      </c>
      <c r="K2518" s="50" t="s">
        <v>22</v>
      </c>
      <c r="L2518" s="50">
        <v>-1</v>
      </c>
      <c r="M2518" s="49">
        <v>0</v>
      </c>
      <c r="N2518" s="49">
        <f>COUNT(S2518:CD2518)</f>
        <v>7</v>
      </c>
      <c r="O2518" s="49">
        <v>0</v>
      </c>
      <c r="P2518" s="49">
        <v>0</v>
      </c>
      <c r="Q2518" s="49">
        <v>3</v>
      </c>
      <c r="R2518" s="49">
        <v>0</v>
      </c>
      <c r="S2518" s="49">
        <v>0</v>
      </c>
      <c r="T2518" s="49">
        <f>(2-2*B2522)*B2518*B2516</f>
        <v>155.99999999999997</v>
      </c>
      <c r="U2518" s="49">
        <f>B2516*B2518-B2516*B2517</f>
        <v>180</v>
      </c>
      <c r="V2518" s="49">
        <f>W2518-(2*B2521-1)*B2517*(B2515+B2516)</f>
        <v>319.99999999999994</v>
      </c>
      <c r="W2518" s="49">
        <f>B2515*B2517+B2516*B2518</f>
        <v>530</v>
      </c>
      <c r="X2518" s="49">
        <f>B2516*B2518+B2515*B2517-(B2515+B2516)*B2517*(2*B2521-1)</f>
        <v>320</v>
      </c>
      <c r="Y2518" s="49">
        <f>B2515*B2517+B2516*B2518</f>
        <v>530</v>
      </c>
    </row>
    <row r="2519" spans="1:25">
      <c r="A2519" t="s">
        <v>290</v>
      </c>
      <c r="B2519" s="4">
        <v>3</v>
      </c>
      <c r="D2519" s="48">
        <v>8</v>
      </c>
      <c r="E2519" s="48" t="s">
        <v>14</v>
      </c>
      <c r="F2519" s="6">
        <v>0</v>
      </c>
      <c r="G2519" s="6">
        <v>40</v>
      </c>
      <c r="H2519" s="6">
        <v>0</v>
      </c>
      <c r="I2519" s="6">
        <v>0</v>
      </c>
      <c r="J2519" s="6">
        <v>0</v>
      </c>
      <c r="K2519" s="50" t="s">
        <v>21</v>
      </c>
      <c r="L2519" s="50">
        <v>-1</v>
      </c>
      <c r="P2519" s="48"/>
      <c r="Q2519" s="50">
        <v>2</v>
      </c>
      <c r="R2519" s="49"/>
      <c r="S2519" s="49">
        <v>0</v>
      </c>
      <c r="T2519" s="49">
        <f>B2516*B2520</f>
        <v>180</v>
      </c>
      <c r="U2519" s="49">
        <f>T2519</f>
        <v>180</v>
      </c>
      <c r="V2519" s="49">
        <f>W2519</f>
        <v>240</v>
      </c>
      <c r="W2519" s="49">
        <f>B2515*B2519+B2516*B2520</f>
        <v>240</v>
      </c>
      <c r="X2519" s="49">
        <f>Y2519</f>
        <v>240</v>
      </c>
      <c r="Y2519" s="49">
        <f>B2515*B2519+B2516*B2520</f>
        <v>240</v>
      </c>
    </row>
    <row r="2520" spans="1:25">
      <c r="A2520" t="s">
        <v>291</v>
      </c>
      <c r="B2520" s="4">
        <v>6</v>
      </c>
      <c r="D2520" s="48">
        <v>4</v>
      </c>
      <c r="E2520" s="48" t="s">
        <v>15</v>
      </c>
      <c r="F2520" s="6">
        <v>2</v>
      </c>
      <c r="G2520" s="50"/>
      <c r="H2520" s="50"/>
      <c r="I2520" s="50"/>
      <c r="J2520" s="50"/>
      <c r="K2520" s="50"/>
      <c r="L2520" s="50"/>
      <c r="P2520" s="48"/>
      <c r="Q2520" s="49"/>
      <c r="R2520" s="49"/>
      <c r="S2520" s="48"/>
      <c r="T2520" s="48"/>
      <c r="U2520" s="48"/>
      <c r="V2520" s="49"/>
      <c r="W2520" s="49"/>
      <c r="X2520" s="49"/>
      <c r="Y2520" s="49"/>
    </row>
    <row r="2521" spans="1:25">
      <c r="A2521" t="s">
        <v>292</v>
      </c>
      <c r="B2521" s="4">
        <v>0.8</v>
      </c>
      <c r="D2521" s="48">
        <v>4</v>
      </c>
      <c r="E2521" s="48" t="s">
        <v>15</v>
      </c>
      <c r="F2521" s="6">
        <v>4</v>
      </c>
      <c r="G2521" s="49"/>
      <c r="H2521" s="49"/>
      <c r="K2521" s="49"/>
      <c r="L2521" s="49"/>
      <c r="M2521" s="49"/>
      <c r="N2521" s="49"/>
      <c r="O2521" s="49"/>
      <c r="P2521" s="49"/>
      <c r="Q2521" s="49"/>
      <c r="R2521" s="49"/>
      <c r="S2521" s="48"/>
      <c r="T2521" s="49"/>
      <c r="U2521" s="49"/>
      <c r="V2521" s="49"/>
      <c r="W2521" s="49"/>
      <c r="X2521" s="49"/>
      <c r="Y2521" s="49"/>
    </row>
    <row r="2522" spans="1:25">
      <c r="A2522" t="s">
        <v>293</v>
      </c>
      <c r="B2522" s="4">
        <v>0.8</v>
      </c>
      <c r="D2522" s="49">
        <f>F2522*2+4</f>
        <v>14</v>
      </c>
      <c r="E2522" s="49" t="s">
        <v>1</v>
      </c>
      <c r="F2522" s="50">
        <v>5</v>
      </c>
      <c r="G2522" s="50">
        <f>G2518</f>
        <v>800</v>
      </c>
      <c r="H2522" s="50">
        <f>H2518</f>
        <v>2900</v>
      </c>
      <c r="I2522" s="50">
        <f>G2522+I2517*T2518</f>
        <v>2047.9999999999998</v>
      </c>
      <c r="J2522" s="50">
        <f>H2522-J2517*T2519</f>
        <v>1100</v>
      </c>
      <c r="K2522" s="50">
        <f>G2522+I2517*U2518</f>
        <v>2240</v>
      </c>
      <c r="L2522" s="50">
        <f>H2522-J2517*U2519</f>
        <v>1100</v>
      </c>
      <c r="M2522" s="50">
        <f>G2522+I2517*V2518</f>
        <v>3359.9999999999995</v>
      </c>
      <c r="N2522" s="50">
        <f>H2522-J2517*V2519</f>
        <v>500</v>
      </c>
      <c r="O2522" s="50">
        <f>G2522+I2517*W2518</f>
        <v>5040</v>
      </c>
      <c r="P2522" s="49">
        <f>H2522-J2517*W2519</f>
        <v>500</v>
      </c>
      <c r="Q2522" s="49"/>
      <c r="R2522" s="49"/>
      <c r="S2522" s="48"/>
      <c r="T2522" s="48"/>
      <c r="U2522" s="48"/>
      <c r="V2522" s="49"/>
      <c r="W2522" s="49"/>
      <c r="X2522" s="49"/>
      <c r="Y2522" s="49"/>
    </row>
    <row r="2523" spans="1:25">
      <c r="A2523" s="2"/>
      <c r="B2523" s="2"/>
      <c r="C2523" s="2"/>
      <c r="D2523" s="48">
        <v>4</v>
      </c>
      <c r="E2523" s="48" t="s">
        <v>15</v>
      </c>
      <c r="F2523" s="6">
        <v>1</v>
      </c>
      <c r="G2523" s="50"/>
      <c r="H2523" s="50"/>
      <c r="I2523" s="50"/>
      <c r="J2523" s="50"/>
      <c r="K2523" s="50"/>
      <c r="L2523" s="50"/>
      <c r="P2523" s="48"/>
      <c r="Q2523" s="49"/>
      <c r="R2523" s="49"/>
      <c r="S2523" s="49"/>
      <c r="T2523" s="48"/>
      <c r="U2523" s="48"/>
      <c r="V2523" s="49"/>
      <c r="W2523" s="49"/>
      <c r="X2523" s="49"/>
      <c r="Y2523" s="49"/>
    </row>
    <row r="2524" spans="1:25">
      <c r="A2524" s="2"/>
      <c r="B2524" s="2"/>
      <c r="C2524" s="2"/>
      <c r="D2524" s="49">
        <v>7</v>
      </c>
      <c r="E2524" s="49" t="s">
        <v>0</v>
      </c>
      <c r="F2524" s="50">
        <f>J2522-50</f>
        <v>1050</v>
      </c>
      <c r="G2524" s="50">
        <f>I2522-50</f>
        <v>1997.9999999999998</v>
      </c>
      <c r="H2524" s="50">
        <f t="shared" ref="H2524:I2527" si="148">F2524+100</f>
        <v>1150</v>
      </c>
      <c r="I2524" s="50">
        <f t="shared" si="148"/>
        <v>2098</v>
      </c>
      <c r="J2524" s="50"/>
      <c r="K2524" s="50"/>
      <c r="L2524" s="50"/>
      <c r="M2524" s="50"/>
      <c r="N2524" s="50"/>
      <c r="O2524" s="50"/>
      <c r="P2524" s="49"/>
      <c r="Q2524" s="49"/>
      <c r="R2524" s="49"/>
      <c r="S2524" s="49"/>
      <c r="T2524" s="48"/>
      <c r="U2524" s="48"/>
      <c r="V2524" s="49"/>
      <c r="W2524" s="49"/>
      <c r="X2524" s="49"/>
      <c r="Y2524" s="49"/>
    </row>
    <row r="2525" spans="1:25">
      <c r="A2525" s="2"/>
      <c r="B2525" s="2"/>
      <c r="C2525" s="2"/>
      <c r="D2525" s="49">
        <v>7</v>
      </c>
      <c r="E2525" s="49" t="s">
        <v>0</v>
      </c>
      <c r="F2525" s="50">
        <f>L2522-50</f>
        <v>1050</v>
      </c>
      <c r="G2525" s="50">
        <f>K2522-50</f>
        <v>2190</v>
      </c>
      <c r="H2525" s="50">
        <f t="shared" si="148"/>
        <v>1150</v>
      </c>
      <c r="I2525" s="50">
        <f t="shared" si="148"/>
        <v>2290</v>
      </c>
      <c r="J2525" s="50"/>
      <c r="K2525" s="50"/>
      <c r="L2525" s="50"/>
      <c r="M2525" s="50"/>
      <c r="N2525" s="50"/>
      <c r="O2525" s="50"/>
      <c r="P2525" s="49"/>
      <c r="Q2525" s="49"/>
      <c r="R2525" s="49"/>
      <c r="S2525" s="49"/>
      <c r="T2525" s="49"/>
      <c r="U2525" s="49"/>
      <c r="V2525" s="49"/>
      <c r="W2525" s="49"/>
      <c r="X2525" s="49"/>
      <c r="Y2525" s="49"/>
    </row>
    <row r="2526" spans="1:25">
      <c r="A2526" s="2"/>
      <c r="B2526" s="2"/>
      <c r="C2526" s="2"/>
      <c r="D2526" s="49">
        <v>7</v>
      </c>
      <c r="E2526" s="49" t="s">
        <v>0</v>
      </c>
      <c r="F2526" s="50">
        <f>N2522-50</f>
        <v>450</v>
      </c>
      <c r="G2526" s="50">
        <f>M2522-50</f>
        <v>3309.9999999999995</v>
      </c>
      <c r="H2526" s="50">
        <f t="shared" si="148"/>
        <v>550</v>
      </c>
      <c r="I2526" s="50">
        <f t="shared" si="148"/>
        <v>3409.9999999999995</v>
      </c>
      <c r="K2526" s="50"/>
      <c r="L2526" s="50"/>
      <c r="M2526" s="50"/>
      <c r="N2526" s="50"/>
      <c r="O2526" s="50"/>
      <c r="P2526" s="49"/>
      <c r="Q2526" s="49"/>
      <c r="R2526" s="49"/>
      <c r="S2526" s="49"/>
      <c r="T2526" s="48"/>
      <c r="U2526" s="48"/>
      <c r="V2526" s="49"/>
      <c r="W2526" s="49"/>
      <c r="X2526" s="49"/>
      <c r="Y2526" s="49"/>
    </row>
    <row r="2527" spans="1:25">
      <c r="A2527" s="2"/>
      <c r="B2527" s="2"/>
      <c r="C2527" s="2"/>
      <c r="D2527" s="49">
        <v>7</v>
      </c>
      <c r="E2527" s="49" t="s">
        <v>0</v>
      </c>
      <c r="F2527" s="50">
        <f>P2522-50</f>
        <v>450</v>
      </c>
      <c r="G2527" s="50">
        <f>O2522-50</f>
        <v>4990</v>
      </c>
      <c r="H2527" s="50">
        <f t="shared" si="148"/>
        <v>550</v>
      </c>
      <c r="I2527" s="50">
        <f t="shared" si="148"/>
        <v>5090</v>
      </c>
      <c r="J2527" s="50"/>
      <c r="K2527" s="50"/>
      <c r="L2527" s="50"/>
      <c r="M2527" s="50"/>
      <c r="N2527" s="50"/>
      <c r="O2527" s="50"/>
      <c r="P2527" s="49"/>
      <c r="Q2527" s="49"/>
      <c r="R2527" s="49"/>
      <c r="S2527" s="49"/>
      <c r="T2527" s="48"/>
      <c r="U2527" s="48"/>
      <c r="V2527" s="49"/>
      <c r="W2527" s="49"/>
      <c r="X2527" s="49"/>
      <c r="Y2527" s="49"/>
    </row>
    <row r="2528" spans="1:25">
      <c r="A2528" s="2"/>
      <c r="B2528" s="2"/>
      <c r="C2528" s="2"/>
      <c r="D2528" s="49">
        <f>ROUNDUP(6+F2528/2,0)</f>
        <v>7</v>
      </c>
      <c r="E2528" s="49" t="s">
        <v>6</v>
      </c>
      <c r="F2528" s="50">
        <f>LEN(G2528)</f>
        <v>2</v>
      </c>
      <c r="G2528" s="50" t="s">
        <v>130</v>
      </c>
      <c r="H2528" s="50">
        <f t="shared" ref="H2528:I2530" si="149">H2524</f>
        <v>1150</v>
      </c>
      <c r="I2528" s="50">
        <f t="shared" si="149"/>
        <v>2098</v>
      </c>
      <c r="J2528" s="50"/>
      <c r="K2528" s="50"/>
      <c r="L2528" s="50"/>
      <c r="M2528" s="50"/>
      <c r="N2528" s="50"/>
      <c r="O2528" s="50"/>
      <c r="P2528" s="49"/>
      <c r="Q2528" s="49"/>
      <c r="R2528" s="49"/>
      <c r="S2528" s="49"/>
      <c r="T2528" s="48"/>
      <c r="U2528" s="48"/>
      <c r="V2528" s="49"/>
      <c r="W2528" s="49"/>
      <c r="X2528" s="49"/>
      <c r="Y2528" s="49"/>
    </row>
    <row r="2529" spans="1:25">
      <c r="A2529" s="2"/>
      <c r="B2529" s="2"/>
      <c r="C2529" s="2"/>
      <c r="D2529" s="49">
        <f>ROUNDUP(6+F2529/2,0)</f>
        <v>7</v>
      </c>
      <c r="E2529" s="49" t="s">
        <v>6</v>
      </c>
      <c r="F2529" s="50">
        <f>LEN(G2529)</f>
        <v>2</v>
      </c>
      <c r="G2529" s="50" t="s">
        <v>285</v>
      </c>
      <c r="H2529" s="50">
        <f t="shared" si="149"/>
        <v>1150</v>
      </c>
      <c r="I2529" s="50">
        <f t="shared" si="149"/>
        <v>2290</v>
      </c>
      <c r="J2529" s="50"/>
      <c r="K2529" s="50"/>
      <c r="L2529" s="50"/>
      <c r="M2529" s="50"/>
      <c r="N2529" s="50"/>
      <c r="O2529" s="50"/>
      <c r="P2529" s="49"/>
      <c r="Q2529" s="49"/>
      <c r="R2529" s="49"/>
      <c r="S2529" s="49"/>
      <c r="T2529" s="48"/>
      <c r="U2529" s="48"/>
      <c r="V2529" s="49"/>
      <c r="W2529" s="49"/>
      <c r="X2529" s="49"/>
      <c r="Y2529" s="49"/>
    </row>
    <row r="2530" spans="1:25">
      <c r="D2530" s="49">
        <f>ROUNDUP(6+F2530/2,0)</f>
        <v>7</v>
      </c>
      <c r="E2530" s="49" t="s">
        <v>6</v>
      </c>
      <c r="F2530" s="50">
        <f>LEN(G2530)</f>
        <v>2</v>
      </c>
      <c r="G2530" s="50" t="s">
        <v>131</v>
      </c>
      <c r="H2530" s="50">
        <f t="shared" si="149"/>
        <v>550</v>
      </c>
      <c r="I2530" s="50">
        <f t="shared" si="149"/>
        <v>3409.9999999999995</v>
      </c>
      <c r="J2530" s="50"/>
      <c r="K2530" s="50"/>
      <c r="L2530" s="50"/>
      <c r="M2530" s="50"/>
      <c r="N2530" s="50"/>
      <c r="O2530" s="50"/>
      <c r="P2530" s="49"/>
      <c r="Q2530" s="49"/>
      <c r="R2530" s="49"/>
      <c r="S2530" s="49"/>
      <c r="T2530" s="49"/>
      <c r="U2530" s="49"/>
      <c r="V2530" s="49"/>
      <c r="W2530" s="49"/>
      <c r="X2530" s="49"/>
      <c r="Y2530" s="49"/>
    </row>
    <row r="2533" spans="1:25">
      <c r="A2533" s="48" t="s">
        <v>383</v>
      </c>
      <c r="B2533" s="1" t="s">
        <v>806</v>
      </c>
      <c r="C2533" s="48"/>
      <c r="D2533" s="48" t="s">
        <v>449</v>
      </c>
      <c r="E2533" s="48">
        <v>52695</v>
      </c>
      <c r="F2533" s="6">
        <v>39622</v>
      </c>
      <c r="G2533" s="6">
        <v>0</v>
      </c>
      <c r="H2533" s="6">
        <v>0</v>
      </c>
      <c r="I2533" s="6">
        <v>0</v>
      </c>
      <c r="J2533" s="6">
        <v>11500</v>
      </c>
      <c r="K2533" s="6">
        <v>7000</v>
      </c>
      <c r="L2533" s="6">
        <v>1920</v>
      </c>
      <c r="M2533" s="6">
        <v>0</v>
      </c>
      <c r="N2533" s="6">
        <v>0</v>
      </c>
      <c r="O2533" s="6" t="e">
        <f ca="1">checksummeint(G2533,H2533,I2533,J2533,K2533,L2533,M2533,N2533)</f>
        <v>#NAME?</v>
      </c>
    </row>
    <row r="2534" spans="1:25">
      <c r="A2534" s="1"/>
      <c r="B2534" s="48"/>
      <c r="C2534" s="48"/>
      <c r="D2534" s="48">
        <v>28</v>
      </c>
      <c r="E2534" s="48" t="s">
        <v>12</v>
      </c>
      <c r="F2534" s="6">
        <v>360</v>
      </c>
      <c r="G2534" s="6">
        <v>0</v>
      </c>
      <c r="H2534" s="6">
        <v>0</v>
      </c>
      <c r="I2534" s="6">
        <v>0</v>
      </c>
      <c r="J2534" s="6">
        <v>400</v>
      </c>
      <c r="K2534" s="6">
        <v>0</v>
      </c>
      <c r="L2534" s="6">
        <v>0</v>
      </c>
      <c r="M2534" s="6">
        <v>0</v>
      </c>
      <c r="N2534" s="6">
        <v>0</v>
      </c>
      <c r="O2534" s="6" t="s">
        <v>19</v>
      </c>
    </row>
    <row r="2535" spans="1:25">
      <c r="A2535" s="48"/>
      <c r="B2535" s="48"/>
      <c r="C2535" s="48"/>
      <c r="D2535" s="48">
        <v>5</v>
      </c>
      <c r="E2535" s="48" t="s">
        <v>59</v>
      </c>
      <c r="F2535" s="6">
        <v>1</v>
      </c>
      <c r="G2535" s="6">
        <v>0</v>
      </c>
    </row>
    <row r="2536" spans="1:25">
      <c r="A2536" s="48"/>
      <c r="B2536" s="48"/>
      <c r="C2536" s="48"/>
      <c r="D2536" s="48">
        <v>8</v>
      </c>
      <c r="E2536" s="48" t="s">
        <v>14</v>
      </c>
      <c r="F2536" s="6">
        <v>0</v>
      </c>
      <c r="G2536" s="6">
        <v>16</v>
      </c>
      <c r="H2536" s="6">
        <v>0</v>
      </c>
      <c r="I2536" s="6">
        <v>0</v>
      </c>
      <c r="J2536" s="6">
        <v>0</v>
      </c>
      <c r="M2536" s="44"/>
      <c r="N2536" s="45"/>
      <c r="O2536" s="46"/>
    </row>
    <row r="2537" spans="1:25">
      <c r="A2537" s="48"/>
      <c r="B2537" s="48"/>
      <c r="C2537" s="48"/>
      <c r="D2537" s="48">
        <v>7</v>
      </c>
      <c r="E2537" s="48" t="s">
        <v>11</v>
      </c>
      <c r="F2537" s="6">
        <v>0</v>
      </c>
      <c r="G2537" s="50">
        <f>255*256+192</f>
        <v>65472</v>
      </c>
      <c r="H2537" s="50">
        <v>192</v>
      </c>
      <c r="I2537" s="6">
        <v>0</v>
      </c>
    </row>
    <row r="2538" spans="1:25">
      <c r="A2538" s="48"/>
      <c r="B2538" s="48"/>
      <c r="C2538" s="48"/>
      <c r="D2538" s="48">
        <v>7</v>
      </c>
      <c r="E2538" s="48" t="s">
        <v>11</v>
      </c>
      <c r="F2538" s="6">
        <v>0</v>
      </c>
      <c r="G2538" s="6">
        <v>0</v>
      </c>
      <c r="H2538" s="6">
        <v>0</v>
      </c>
      <c r="I2538" s="6">
        <v>0</v>
      </c>
    </row>
    <row r="2539" spans="1:25">
      <c r="A2539" s="48"/>
      <c r="B2539" s="48"/>
      <c r="C2539" s="48"/>
      <c r="D2539" s="48">
        <v>28</v>
      </c>
      <c r="E2539" s="48" t="s">
        <v>12</v>
      </c>
      <c r="F2539" s="6">
        <v>360</v>
      </c>
      <c r="G2539" s="6">
        <v>0</v>
      </c>
      <c r="H2539" s="6">
        <v>900</v>
      </c>
      <c r="I2539" s="6">
        <v>0</v>
      </c>
      <c r="J2539" s="6">
        <v>400</v>
      </c>
      <c r="K2539" s="6">
        <v>0</v>
      </c>
      <c r="L2539" s="6">
        <v>0</v>
      </c>
      <c r="M2539" s="6">
        <v>0</v>
      </c>
      <c r="N2539" s="6">
        <v>0</v>
      </c>
      <c r="O2539" s="6" t="s">
        <v>19</v>
      </c>
    </row>
    <row r="2540" spans="1:25">
      <c r="A2540" s="48"/>
      <c r="B2540" s="48"/>
      <c r="C2540" s="48"/>
      <c r="D2540" s="48">
        <v>7</v>
      </c>
      <c r="E2540" s="48" t="s">
        <v>11</v>
      </c>
      <c r="F2540" s="6">
        <v>1</v>
      </c>
      <c r="G2540" s="6">
        <v>0</v>
      </c>
      <c r="H2540" s="6">
        <v>0</v>
      </c>
      <c r="I2540" s="6">
        <v>0</v>
      </c>
    </row>
    <row r="2541" spans="1:25">
      <c r="A2541" s="48"/>
      <c r="B2541" s="48"/>
      <c r="C2541" s="48"/>
      <c r="D2541" s="48">
        <v>8</v>
      </c>
      <c r="E2541" s="48" t="s">
        <v>14</v>
      </c>
      <c r="F2541" s="6">
        <v>0</v>
      </c>
      <c r="G2541" s="6">
        <v>16</v>
      </c>
      <c r="H2541" s="6">
        <v>0</v>
      </c>
      <c r="I2541" s="50">
        <f>255*256+128</f>
        <v>65408</v>
      </c>
      <c r="J2541" s="50">
        <v>128</v>
      </c>
    </row>
    <row r="2542" spans="1:25">
      <c r="A2542" s="48"/>
      <c r="B2542" s="48"/>
      <c r="C2542" s="48"/>
      <c r="D2542" s="48">
        <v>28</v>
      </c>
      <c r="E2542" s="48" t="s">
        <v>12</v>
      </c>
      <c r="F2542" s="6">
        <f>F2539*1.4</f>
        <v>503.99999999999994</v>
      </c>
      <c r="G2542" s="6">
        <v>0</v>
      </c>
      <c r="H2542" s="6">
        <v>0</v>
      </c>
      <c r="I2542" s="6">
        <v>0</v>
      </c>
      <c r="J2542" s="6">
        <v>700</v>
      </c>
      <c r="K2542" s="6">
        <v>0</v>
      </c>
      <c r="L2542" s="6">
        <v>0</v>
      </c>
      <c r="M2542" s="6">
        <v>0</v>
      </c>
      <c r="N2542" s="6">
        <v>0</v>
      </c>
      <c r="O2542" s="6" t="s">
        <v>19</v>
      </c>
    </row>
    <row r="2543" spans="1:25">
      <c r="A2543" s="48"/>
      <c r="B2543" s="48"/>
      <c r="C2543" s="48"/>
      <c r="D2543" s="48">
        <v>4</v>
      </c>
      <c r="E2543" s="48" t="s">
        <v>15</v>
      </c>
      <c r="F2543" s="6">
        <v>5</v>
      </c>
      <c r="I2543" s="50"/>
      <c r="J2543" s="50"/>
    </row>
    <row r="2544" spans="1:25">
      <c r="A2544" s="48"/>
      <c r="B2544" s="48"/>
      <c r="C2544" s="48"/>
      <c r="D2544" s="48">
        <v>4</v>
      </c>
      <c r="E2544" s="48" t="s">
        <v>15</v>
      </c>
      <c r="F2544" s="6">
        <v>6</v>
      </c>
      <c r="I2544" s="50"/>
      <c r="J2544" s="50"/>
    </row>
    <row r="2545" spans="1:15">
      <c r="A2545" s="48"/>
      <c r="B2545" s="48"/>
      <c r="C2545" s="48"/>
      <c r="D2545" s="48">
        <v>4</v>
      </c>
      <c r="E2545" s="48" t="s">
        <v>15</v>
      </c>
      <c r="F2545" s="6">
        <v>7</v>
      </c>
      <c r="I2545" s="50"/>
      <c r="J2545" s="50"/>
    </row>
    <row r="2546" spans="1:15">
      <c r="A2546" s="48"/>
      <c r="B2546" s="48"/>
      <c r="C2546" s="48"/>
      <c r="D2546" s="49">
        <v>7</v>
      </c>
      <c r="E2546" s="49" t="s">
        <v>5</v>
      </c>
      <c r="F2546" s="50">
        <f>H2589</f>
        <v>900</v>
      </c>
      <c r="G2546" s="50">
        <f>G2589</f>
        <v>1600</v>
      </c>
      <c r="H2546" s="50">
        <f>N2555</f>
        <v>5800</v>
      </c>
      <c r="I2546" s="50">
        <f>K2589</f>
        <v>2400</v>
      </c>
      <c r="J2546" s="50"/>
    </row>
    <row r="2547" spans="1:15">
      <c r="A2547" s="48"/>
      <c r="B2547" s="48"/>
      <c r="C2547" s="48"/>
      <c r="D2547" s="49">
        <v>7</v>
      </c>
      <c r="E2547" s="49" t="s">
        <v>5</v>
      </c>
      <c r="F2547" s="50">
        <f>H2599</f>
        <v>900</v>
      </c>
      <c r="G2547" s="50">
        <f>G2599</f>
        <v>4540</v>
      </c>
      <c r="H2547" s="50">
        <f>H2546</f>
        <v>5800</v>
      </c>
      <c r="I2547" s="50">
        <f>K2599</f>
        <v>5540</v>
      </c>
      <c r="J2547" s="50"/>
    </row>
    <row r="2548" spans="1:15">
      <c r="A2548" s="48"/>
      <c r="B2548" s="48"/>
      <c r="C2548" s="48"/>
      <c r="D2548" s="49">
        <v>7</v>
      </c>
      <c r="E2548" s="49" t="s">
        <v>5</v>
      </c>
      <c r="F2548" s="50">
        <f>H2609</f>
        <v>900</v>
      </c>
      <c r="G2548" s="50">
        <f>G2609</f>
        <v>8380</v>
      </c>
      <c r="H2548" s="50">
        <f>H2547</f>
        <v>5800</v>
      </c>
      <c r="I2548" s="50">
        <f>K2609</f>
        <v>9130</v>
      </c>
      <c r="J2548" s="50"/>
    </row>
    <row r="2549" spans="1:15">
      <c r="A2549" s="48"/>
      <c r="B2549" s="48"/>
      <c r="C2549" s="48"/>
      <c r="D2549" s="49"/>
      <c r="E2549" s="50" t="s">
        <v>515</v>
      </c>
      <c r="F2549" s="6" t="s">
        <v>594</v>
      </c>
      <c r="G2549" s="50">
        <v>50</v>
      </c>
      <c r="H2549" s="50">
        <v>50</v>
      </c>
      <c r="I2549" s="50">
        <f>G2549+3840</f>
        <v>3890</v>
      </c>
      <c r="J2549" s="50">
        <f>I2549+3840</f>
        <v>7730</v>
      </c>
    </row>
    <row r="2550" spans="1:15">
      <c r="A2550" s="48"/>
      <c r="B2550" s="48"/>
      <c r="C2550" s="48"/>
      <c r="D2550" s="49"/>
      <c r="E2550" s="50" t="s">
        <v>515</v>
      </c>
      <c r="F2550" s="6" t="s">
        <v>595</v>
      </c>
      <c r="G2550" s="50">
        <f>G2549</f>
        <v>50</v>
      </c>
      <c r="H2550" s="50">
        <v>6400</v>
      </c>
      <c r="I2550" s="50">
        <f>I2549</f>
        <v>3890</v>
      </c>
      <c r="J2550" s="50">
        <f>J2549</f>
        <v>7730</v>
      </c>
    </row>
    <row r="2551" spans="1:15">
      <c r="A2551" s="48"/>
      <c r="B2551" s="48"/>
      <c r="C2551" s="48"/>
      <c r="D2551" s="48">
        <v>4</v>
      </c>
      <c r="E2551" s="48" t="s">
        <v>15</v>
      </c>
      <c r="F2551" s="6">
        <v>0</v>
      </c>
      <c r="G2551" s="36"/>
      <c r="H2551" s="50"/>
      <c r="I2551" s="50"/>
      <c r="J2551" s="50"/>
    </row>
    <row r="2552" spans="1:15">
      <c r="A2552" s="48"/>
      <c r="B2552" s="48"/>
      <c r="C2552" s="48"/>
      <c r="D2552" s="49"/>
      <c r="E2552" s="50" t="s">
        <v>515</v>
      </c>
      <c r="F2552" s="6" t="s">
        <v>596</v>
      </c>
      <c r="G2552" s="50">
        <f>G2549+1280</f>
        <v>1330</v>
      </c>
      <c r="H2552" s="50">
        <v>210</v>
      </c>
      <c r="I2552" s="50">
        <f>I2549+1280</f>
        <v>5170</v>
      </c>
      <c r="J2552" s="50">
        <f>J2549+1280</f>
        <v>9010</v>
      </c>
    </row>
    <row r="2553" spans="1:15">
      <c r="A2553" s="48"/>
      <c r="B2553" s="1"/>
      <c r="C2553" s="48"/>
      <c r="D2553" s="48">
        <v>4</v>
      </c>
      <c r="E2553" s="48" t="s">
        <v>15</v>
      </c>
      <c r="F2553" s="6">
        <v>1</v>
      </c>
    </row>
    <row r="2554" spans="1:15">
      <c r="A2554" s="48"/>
      <c r="B2554" s="1"/>
      <c r="C2554" s="48"/>
      <c r="D2554" s="48">
        <v>4</v>
      </c>
      <c r="E2554" s="48" t="s">
        <v>15</v>
      </c>
      <c r="F2554" s="6">
        <v>2</v>
      </c>
      <c r="G2554" s="50"/>
      <c r="M2554" s="36" t="s">
        <v>266</v>
      </c>
    </row>
    <row r="2555" spans="1:15">
      <c r="A2555" s="48">
        <v>3000</v>
      </c>
      <c r="B2555" s="1">
        <v>0.85</v>
      </c>
      <c r="C2555" s="48"/>
      <c r="D2555" s="49">
        <f>F2555*2+4</f>
        <v>12</v>
      </c>
      <c r="E2555" s="49" t="s">
        <v>4</v>
      </c>
      <c r="F2555" s="50">
        <v>4</v>
      </c>
      <c r="G2555" s="50">
        <f>M2555-A2555</f>
        <v>200</v>
      </c>
      <c r="H2555" s="50">
        <f>N2555</f>
        <v>5800</v>
      </c>
      <c r="I2555" s="50">
        <f>G2555+A2555*(2-2*B2555)</f>
        <v>1100</v>
      </c>
      <c r="J2555" s="50">
        <f>L2555</f>
        <v>4300</v>
      </c>
      <c r="K2555" s="50">
        <f>M2555</f>
        <v>3200</v>
      </c>
      <c r="L2555" s="50">
        <f>N2555-1500</f>
        <v>4300</v>
      </c>
      <c r="M2555" s="50">
        <v>3200</v>
      </c>
      <c r="N2555" s="50">
        <v>5800</v>
      </c>
    </row>
    <row r="2556" spans="1:15">
      <c r="A2556" s="48"/>
      <c r="B2556" s="1"/>
      <c r="C2556" s="48"/>
      <c r="D2556" s="48">
        <v>4</v>
      </c>
      <c r="E2556" s="48" t="s">
        <v>15</v>
      </c>
      <c r="F2556" s="6">
        <v>3</v>
      </c>
      <c r="G2556" s="50"/>
      <c r="H2556" s="50"/>
      <c r="I2556" s="50"/>
      <c r="J2556" s="50"/>
      <c r="K2556" s="50"/>
      <c r="L2556" s="50"/>
      <c r="M2556" s="50"/>
      <c r="N2556" s="50"/>
    </row>
    <row r="2557" spans="1:15">
      <c r="A2557" s="1" t="s">
        <v>295</v>
      </c>
      <c r="B2557" s="1" t="s">
        <v>18</v>
      </c>
      <c r="C2557" s="48"/>
      <c r="D2557" s="49">
        <v>44</v>
      </c>
      <c r="E2557" s="49" t="s">
        <v>112</v>
      </c>
      <c r="F2557" s="50">
        <v>200</v>
      </c>
      <c r="G2557" s="50">
        <f>K2555+400</f>
        <v>3600</v>
      </c>
      <c r="H2557" s="50">
        <f>L2555</f>
        <v>4300</v>
      </c>
      <c r="I2557" s="50">
        <f>M2555+400</f>
        <v>3600</v>
      </c>
      <c r="J2557" s="50">
        <f>N2555</f>
        <v>5800</v>
      </c>
      <c r="K2557" s="36"/>
      <c r="L2557" s="50"/>
      <c r="M2557" s="50"/>
    </row>
    <row r="2558" spans="1:15">
      <c r="A2558" s="48"/>
      <c r="B2558" s="1"/>
      <c r="C2558" s="48"/>
      <c r="D2558" s="49">
        <v>44</v>
      </c>
      <c r="E2558" s="49" t="s">
        <v>112</v>
      </c>
      <c r="F2558" s="50">
        <v>200</v>
      </c>
      <c r="G2558" s="50">
        <f>G2555</f>
        <v>200</v>
      </c>
      <c r="H2558" s="50">
        <f>H2555+400</f>
        <v>6200</v>
      </c>
      <c r="I2558" s="50">
        <f>M2555</f>
        <v>3200</v>
      </c>
      <c r="J2558" s="50">
        <f>N2555+400</f>
        <v>6200</v>
      </c>
      <c r="K2558" s="36" t="s">
        <v>300</v>
      </c>
      <c r="L2558" s="50"/>
      <c r="M2558" s="50"/>
      <c r="N2558" s="50"/>
      <c r="O2558" s="50"/>
    </row>
    <row r="2559" spans="1:15">
      <c r="A2559" s="48"/>
      <c r="B2559" s="1"/>
      <c r="C2559" s="48"/>
      <c r="D2559" s="49">
        <v>64</v>
      </c>
      <c r="E2559" s="49" t="s">
        <v>114</v>
      </c>
      <c r="F2559" s="50">
        <v>200</v>
      </c>
      <c r="G2559" s="50">
        <f>G2555</f>
        <v>200</v>
      </c>
      <c r="H2559" s="50">
        <f>J2559</f>
        <v>3900</v>
      </c>
      <c r="I2559" s="50">
        <f>M2555</f>
        <v>3200</v>
      </c>
      <c r="J2559" s="50">
        <f>L2559</f>
        <v>3900</v>
      </c>
      <c r="K2559" s="50">
        <f>I2555</f>
        <v>1100</v>
      </c>
      <c r="L2559" s="50">
        <f>J2555-400</f>
        <v>3900</v>
      </c>
      <c r="M2559" s="31" t="s">
        <v>302</v>
      </c>
      <c r="N2559" s="31" t="s">
        <v>301</v>
      </c>
    </row>
    <row r="2560" spans="1:15">
      <c r="A2560" s="49"/>
      <c r="B2560" s="3"/>
      <c r="C2560" s="49"/>
      <c r="D2560" s="49">
        <f>ROUNDUP(6+F2560/2,0)</f>
        <v>10</v>
      </c>
      <c r="E2560" s="49" t="s">
        <v>6</v>
      </c>
      <c r="F2560" s="50">
        <f>LEN(G2560)</f>
        <v>8</v>
      </c>
      <c r="G2560" s="36" t="s">
        <v>303</v>
      </c>
      <c r="H2560" s="50">
        <f>N2555-512</f>
        <v>5288</v>
      </c>
      <c r="I2560" s="50">
        <f>M2555-1280</f>
        <v>1920</v>
      </c>
      <c r="J2560" s="50"/>
      <c r="K2560" s="50"/>
      <c r="L2560" s="50"/>
      <c r="M2560" s="50"/>
      <c r="N2560" s="50"/>
      <c r="O2560" s="50"/>
    </row>
    <row r="2561" spans="1:15">
      <c r="A2561" s="49"/>
      <c r="B2561" s="3"/>
      <c r="C2561" s="49"/>
      <c r="D2561" s="48">
        <v>4</v>
      </c>
      <c r="E2561" s="48" t="s">
        <v>15</v>
      </c>
      <c r="F2561" s="6">
        <v>4</v>
      </c>
      <c r="G2561" s="50"/>
      <c r="H2561" s="50"/>
      <c r="I2561" s="50"/>
      <c r="J2561" s="50"/>
      <c r="K2561" s="50"/>
      <c r="L2561" s="50"/>
      <c r="M2561" s="50"/>
      <c r="N2561" s="50"/>
      <c r="O2561" s="50"/>
    </row>
    <row r="2562" spans="1:15">
      <c r="A2562" s="49"/>
      <c r="B2562" s="3"/>
      <c r="C2562" s="49"/>
      <c r="D2562" s="49">
        <f>ROUNDUP(6+F2562/2,0)</f>
        <v>7</v>
      </c>
      <c r="E2562" s="49" t="s">
        <v>6</v>
      </c>
      <c r="F2562" s="50">
        <f>LEN(G2562)</f>
        <v>2</v>
      </c>
      <c r="G2562" s="36" t="s">
        <v>304</v>
      </c>
      <c r="H2562" s="50">
        <f>H2557/2+J2557/2+200</f>
        <v>5250</v>
      </c>
      <c r="I2562" s="50">
        <f>G2557-400</f>
        <v>3200</v>
      </c>
      <c r="J2562" s="50"/>
      <c r="K2562" s="50"/>
      <c r="L2562" s="50"/>
      <c r="M2562" s="50"/>
      <c r="N2562" s="50"/>
      <c r="O2562" s="50"/>
    </row>
    <row r="2563" spans="1:15">
      <c r="A2563" s="48"/>
      <c r="B2563" s="1"/>
      <c r="C2563" s="48"/>
      <c r="D2563" s="48">
        <v>4</v>
      </c>
      <c r="E2563" s="48" t="s">
        <v>15</v>
      </c>
      <c r="F2563" s="6">
        <v>0</v>
      </c>
      <c r="O2563" s="50"/>
    </row>
    <row r="2564" spans="1:15">
      <c r="A2564" s="48"/>
      <c r="B2564" s="1"/>
      <c r="C2564" s="48"/>
      <c r="D2564" s="48">
        <v>4</v>
      </c>
      <c r="E2564" s="48" t="s">
        <v>15</v>
      </c>
      <c r="F2564" s="6">
        <v>2</v>
      </c>
      <c r="G2564" s="50"/>
      <c r="M2564" s="36" t="s">
        <v>266</v>
      </c>
      <c r="O2564" s="50"/>
    </row>
    <row r="2565" spans="1:15">
      <c r="A2565" s="48">
        <v>3000</v>
      </c>
      <c r="B2565" s="1">
        <v>0.85</v>
      </c>
      <c r="C2565" s="48"/>
      <c r="D2565" s="49">
        <f>F2565*2+4</f>
        <v>12</v>
      </c>
      <c r="E2565" s="49" t="s">
        <v>4</v>
      </c>
      <c r="F2565" s="50">
        <v>4</v>
      </c>
      <c r="G2565" s="50">
        <f>M2565-A2565</f>
        <v>4040</v>
      </c>
      <c r="H2565" s="50">
        <f>N2565</f>
        <v>5800</v>
      </c>
      <c r="I2565" s="50">
        <f>G2565+A2565*(2-2*B2565)</f>
        <v>4940</v>
      </c>
      <c r="J2565" s="50">
        <f>L2565</f>
        <v>4300</v>
      </c>
      <c r="K2565" s="50">
        <f>M2565</f>
        <v>7040</v>
      </c>
      <c r="L2565" s="50">
        <f>N2565-1500</f>
        <v>4300</v>
      </c>
      <c r="M2565" s="50">
        <f>M2555+3840</f>
        <v>7040</v>
      </c>
      <c r="N2565" s="50">
        <f>N2555</f>
        <v>5800</v>
      </c>
      <c r="O2565" s="50"/>
    </row>
    <row r="2566" spans="1:15">
      <c r="A2566" s="48"/>
      <c r="B2566" s="1"/>
      <c r="C2566" s="48"/>
      <c r="D2566" s="48">
        <v>4</v>
      </c>
      <c r="E2566" s="48" t="s">
        <v>15</v>
      </c>
      <c r="F2566" s="6">
        <v>3</v>
      </c>
      <c r="G2566" s="50"/>
      <c r="H2566" s="50"/>
      <c r="I2566" s="50"/>
      <c r="J2566" s="50"/>
      <c r="K2566" s="50"/>
      <c r="L2566" s="50"/>
      <c r="M2566" s="50"/>
      <c r="N2566" s="50"/>
      <c r="O2566" s="50"/>
    </row>
    <row r="2567" spans="1:15">
      <c r="A2567" s="1" t="s">
        <v>295</v>
      </c>
      <c r="B2567" s="1" t="s">
        <v>18</v>
      </c>
      <c r="C2567" s="48"/>
      <c r="D2567" s="49">
        <v>44</v>
      </c>
      <c r="E2567" s="49" t="s">
        <v>112</v>
      </c>
      <c r="F2567" s="50">
        <v>200</v>
      </c>
      <c r="G2567" s="50">
        <f>K2565+400</f>
        <v>7440</v>
      </c>
      <c r="H2567" s="50">
        <f>L2565</f>
        <v>4300</v>
      </c>
      <c r="I2567" s="50">
        <f>M2565+400</f>
        <v>7440</v>
      </c>
      <c r="J2567" s="50">
        <f>N2565</f>
        <v>5800</v>
      </c>
      <c r="K2567" s="50"/>
      <c r="L2567" s="50"/>
      <c r="M2567" s="50"/>
      <c r="O2567" s="50"/>
    </row>
    <row r="2568" spans="1:15">
      <c r="A2568" s="48"/>
      <c r="B2568" s="1"/>
      <c r="C2568" s="48"/>
      <c r="D2568" s="49">
        <v>44</v>
      </c>
      <c r="E2568" s="49" t="s">
        <v>112</v>
      </c>
      <c r="F2568" s="50">
        <v>200</v>
      </c>
      <c r="G2568" s="50">
        <f>G2565</f>
        <v>4040</v>
      </c>
      <c r="H2568" s="50">
        <f>H2565+400</f>
        <v>6200</v>
      </c>
      <c r="I2568" s="50">
        <f>M2565</f>
        <v>7040</v>
      </c>
      <c r="J2568" s="50">
        <f>N2565+400</f>
        <v>6200</v>
      </c>
      <c r="K2568" s="36" t="s">
        <v>300</v>
      </c>
      <c r="L2568" s="50"/>
      <c r="M2568" s="50"/>
      <c r="N2568" s="50"/>
    </row>
    <row r="2569" spans="1:15">
      <c r="A2569" s="48"/>
      <c r="B2569" s="1"/>
      <c r="C2569" s="48"/>
      <c r="D2569" s="49">
        <v>64</v>
      </c>
      <c r="E2569" s="49" t="s">
        <v>114</v>
      </c>
      <c r="F2569" s="50">
        <v>200</v>
      </c>
      <c r="G2569" s="50">
        <f>G2565</f>
        <v>4040</v>
      </c>
      <c r="H2569" s="50">
        <f>J2569</f>
        <v>3900</v>
      </c>
      <c r="I2569" s="50">
        <f>M2565</f>
        <v>7040</v>
      </c>
      <c r="J2569" s="50">
        <f>L2569</f>
        <v>3900</v>
      </c>
      <c r="K2569" s="50">
        <f>I2565</f>
        <v>4940</v>
      </c>
      <c r="L2569" s="50">
        <f>J2565-400</f>
        <v>3900</v>
      </c>
      <c r="M2569" s="31" t="s">
        <v>302</v>
      </c>
      <c r="N2569" s="31" t="s">
        <v>301</v>
      </c>
      <c r="O2569" s="50"/>
    </row>
    <row r="2570" spans="1:15">
      <c r="A2570" s="49"/>
      <c r="B2570" s="3"/>
      <c r="C2570" s="49"/>
      <c r="D2570" s="49">
        <f>ROUNDUP(6+F2570/2,0)</f>
        <v>10</v>
      </c>
      <c r="E2570" s="49" t="s">
        <v>6</v>
      </c>
      <c r="F2570" s="50">
        <f>LEN(G2570)</f>
        <v>8</v>
      </c>
      <c r="G2570" s="36" t="s">
        <v>303</v>
      </c>
      <c r="H2570" s="50">
        <f>N2565-512</f>
        <v>5288</v>
      </c>
      <c r="I2570" s="50">
        <f>M2565-1280</f>
        <v>5760</v>
      </c>
      <c r="J2570" s="50"/>
      <c r="K2570" s="50"/>
      <c r="L2570" s="50"/>
      <c r="M2570" s="50"/>
      <c r="N2570" s="50"/>
      <c r="O2570" s="50"/>
    </row>
    <row r="2571" spans="1:15">
      <c r="A2571" s="49"/>
      <c r="B2571" s="3"/>
      <c r="C2571" s="49"/>
      <c r="D2571" s="48">
        <v>4</v>
      </c>
      <c r="E2571" s="48" t="s">
        <v>15</v>
      </c>
      <c r="F2571" s="6">
        <v>4</v>
      </c>
      <c r="G2571" s="50"/>
      <c r="H2571" s="50"/>
      <c r="I2571" s="50"/>
      <c r="J2571" s="50"/>
      <c r="K2571" s="50"/>
      <c r="L2571" s="50"/>
      <c r="M2571" s="50"/>
      <c r="N2571" s="50"/>
      <c r="O2571" s="50"/>
    </row>
    <row r="2572" spans="1:15">
      <c r="A2572" s="49"/>
      <c r="B2572" s="3"/>
      <c r="C2572" s="49"/>
      <c r="D2572" s="49">
        <f>ROUNDUP(6+F2572/2,0)</f>
        <v>7</v>
      </c>
      <c r="E2572" s="49" t="s">
        <v>6</v>
      </c>
      <c r="F2572" s="50">
        <f>LEN(G2572)</f>
        <v>2</v>
      </c>
      <c r="G2572" s="36" t="s">
        <v>304</v>
      </c>
      <c r="H2572" s="50">
        <f>H2567/2+J2567/2+200</f>
        <v>5250</v>
      </c>
      <c r="I2572" s="50">
        <f>G2567-400</f>
        <v>7040</v>
      </c>
      <c r="J2572" s="50"/>
      <c r="K2572" s="50"/>
      <c r="L2572" s="50"/>
      <c r="M2572" s="50"/>
      <c r="N2572" s="50"/>
      <c r="O2572" s="50"/>
    </row>
    <row r="2573" spans="1:15">
      <c r="A2573" s="48"/>
      <c r="B2573" s="1"/>
      <c r="C2573" s="48"/>
      <c r="D2573" s="48">
        <v>4</v>
      </c>
      <c r="E2573" s="48" t="s">
        <v>15</v>
      </c>
      <c r="F2573" s="6">
        <v>0</v>
      </c>
      <c r="O2573" s="50"/>
    </row>
    <row r="2574" spans="1:15">
      <c r="A2574" s="48"/>
      <c r="B2574" s="1"/>
      <c r="C2574" s="48"/>
      <c r="D2574" s="48">
        <v>4</v>
      </c>
      <c r="E2574" s="48" t="s">
        <v>15</v>
      </c>
      <c r="F2574" s="6">
        <v>2</v>
      </c>
      <c r="G2574" s="50"/>
      <c r="M2574" s="36" t="s">
        <v>266</v>
      </c>
      <c r="O2574" s="50"/>
    </row>
    <row r="2575" spans="1:15">
      <c r="A2575" s="48">
        <v>3000</v>
      </c>
      <c r="B2575" s="1">
        <v>0.65</v>
      </c>
      <c r="C2575" s="48"/>
      <c r="D2575" s="49">
        <f>F2575*2+4</f>
        <v>12</v>
      </c>
      <c r="E2575" s="49" t="s">
        <v>4</v>
      </c>
      <c r="F2575" s="50">
        <v>4</v>
      </c>
      <c r="G2575" s="50">
        <f>M2575-A2575</f>
        <v>7880</v>
      </c>
      <c r="H2575" s="50">
        <f>N2575</f>
        <v>5800</v>
      </c>
      <c r="I2575" s="50">
        <f>G2575+A2575*(2-2*B2575)</f>
        <v>9980</v>
      </c>
      <c r="J2575" s="50">
        <f>L2575</f>
        <v>4300</v>
      </c>
      <c r="K2575" s="50">
        <f>M2575</f>
        <v>10880</v>
      </c>
      <c r="L2575" s="50">
        <f>N2575-1500</f>
        <v>4300</v>
      </c>
      <c r="M2575" s="50">
        <f>M2565+3840</f>
        <v>10880</v>
      </c>
      <c r="N2575" s="50">
        <f>N2565</f>
        <v>5800</v>
      </c>
      <c r="O2575" s="50"/>
    </row>
    <row r="2576" spans="1:15">
      <c r="A2576" s="48"/>
      <c r="B2576" s="1"/>
      <c r="C2576" s="48"/>
      <c r="D2576" s="48">
        <v>4</v>
      </c>
      <c r="E2576" s="48" t="s">
        <v>15</v>
      </c>
      <c r="F2576" s="6">
        <v>3</v>
      </c>
      <c r="G2576" s="50"/>
      <c r="H2576" s="50"/>
      <c r="I2576" s="50"/>
      <c r="J2576" s="50"/>
      <c r="K2576" s="50"/>
      <c r="L2576" s="50"/>
      <c r="M2576" s="50"/>
      <c r="N2576" s="50"/>
      <c r="O2576" s="50"/>
    </row>
    <row r="2577" spans="1:15">
      <c r="A2577" s="1" t="s">
        <v>295</v>
      </c>
      <c r="B2577" s="1" t="s">
        <v>18</v>
      </c>
      <c r="C2577" s="48"/>
      <c r="D2577" s="49">
        <v>44</v>
      </c>
      <c r="E2577" s="49" t="s">
        <v>112</v>
      </c>
      <c r="F2577" s="50">
        <v>200</v>
      </c>
      <c r="G2577" s="50">
        <f>K2575+400</f>
        <v>11280</v>
      </c>
      <c r="H2577" s="50">
        <f>L2575</f>
        <v>4300</v>
      </c>
      <c r="I2577" s="50">
        <f>M2575+400</f>
        <v>11280</v>
      </c>
      <c r="J2577" s="50">
        <f>N2575</f>
        <v>5800</v>
      </c>
      <c r="K2577" s="50"/>
      <c r="L2577" s="50"/>
      <c r="M2577" s="50"/>
      <c r="O2577" s="50"/>
    </row>
    <row r="2578" spans="1:15">
      <c r="A2578" s="48"/>
      <c r="B2578" s="1"/>
      <c r="C2578" s="48"/>
      <c r="D2578" s="49">
        <v>44</v>
      </c>
      <c r="E2578" s="49" t="s">
        <v>112</v>
      </c>
      <c r="F2578" s="50">
        <v>200</v>
      </c>
      <c r="G2578" s="50">
        <f>G2575</f>
        <v>7880</v>
      </c>
      <c r="H2578" s="50">
        <f>H2575+400</f>
        <v>6200</v>
      </c>
      <c r="I2578" s="50">
        <f>M2575</f>
        <v>10880</v>
      </c>
      <c r="J2578" s="50">
        <f>N2575+400</f>
        <v>6200</v>
      </c>
      <c r="K2578" s="36" t="s">
        <v>300</v>
      </c>
      <c r="L2578" s="50"/>
      <c r="M2578" s="50"/>
      <c r="N2578" s="50"/>
      <c r="O2578" s="50"/>
    </row>
    <row r="2579" spans="1:15">
      <c r="A2579" s="48"/>
      <c r="B2579" s="1"/>
      <c r="C2579" s="48"/>
      <c r="D2579" s="49">
        <v>64</v>
      </c>
      <c r="E2579" s="49" t="s">
        <v>114</v>
      </c>
      <c r="F2579" s="50">
        <v>200</v>
      </c>
      <c r="G2579" s="50">
        <f>G2575</f>
        <v>7880</v>
      </c>
      <c r="H2579" s="50">
        <f>J2579</f>
        <v>3900</v>
      </c>
      <c r="I2579" s="50">
        <f>M2575</f>
        <v>10880</v>
      </c>
      <c r="J2579" s="50">
        <f>L2579</f>
        <v>3900</v>
      </c>
      <c r="K2579" s="50">
        <f>I2575</f>
        <v>9980</v>
      </c>
      <c r="L2579" s="50">
        <f>J2575-400</f>
        <v>3900</v>
      </c>
      <c r="M2579" s="31" t="s">
        <v>302</v>
      </c>
      <c r="N2579" s="31" t="s">
        <v>301</v>
      </c>
      <c r="O2579" s="50"/>
    </row>
    <row r="2580" spans="1:15">
      <c r="A2580" s="49"/>
      <c r="B2580" s="3"/>
      <c r="C2580" s="49"/>
      <c r="D2580" s="49">
        <f>ROUNDUP(6+F2580/2,0)</f>
        <v>10</v>
      </c>
      <c r="E2580" s="49" t="s">
        <v>6</v>
      </c>
      <c r="F2580" s="50">
        <f>LEN(G2580)</f>
        <v>8</v>
      </c>
      <c r="G2580" s="36" t="s">
        <v>303</v>
      </c>
      <c r="H2580" s="50">
        <f>N2575-512</f>
        <v>5288</v>
      </c>
      <c r="I2580" s="50">
        <f>M2575-1280</f>
        <v>9600</v>
      </c>
      <c r="J2580" s="50"/>
      <c r="K2580" s="50"/>
      <c r="L2580" s="50"/>
      <c r="M2580" s="50"/>
      <c r="N2580" s="50"/>
      <c r="O2580" s="50"/>
    </row>
    <row r="2581" spans="1:15">
      <c r="A2581" s="49"/>
      <c r="B2581" s="3"/>
      <c r="C2581" s="49"/>
      <c r="D2581" s="48">
        <v>4</v>
      </c>
      <c r="E2581" s="48" t="s">
        <v>15</v>
      </c>
      <c r="F2581" s="6">
        <v>4</v>
      </c>
      <c r="G2581" s="50"/>
      <c r="H2581" s="50"/>
      <c r="I2581" s="50"/>
      <c r="J2581" s="50"/>
      <c r="K2581" s="50"/>
      <c r="L2581" s="50"/>
      <c r="M2581" s="50"/>
      <c r="N2581" s="50"/>
      <c r="O2581" s="50"/>
    </row>
    <row r="2582" spans="1:15">
      <c r="A2582" s="49"/>
      <c r="B2582" s="3"/>
      <c r="C2582" s="49"/>
      <c r="D2582" s="49">
        <f>ROUNDUP(6+F2582/2,0)</f>
        <v>7</v>
      </c>
      <c r="E2582" s="49" t="s">
        <v>6</v>
      </c>
      <c r="F2582" s="50">
        <f>LEN(G2582)</f>
        <v>2</v>
      </c>
      <c r="G2582" s="36" t="s">
        <v>304</v>
      </c>
      <c r="H2582" s="50">
        <f>H2577/2+J2577/2+200</f>
        <v>5250</v>
      </c>
      <c r="I2582" s="50">
        <f>G2577-400</f>
        <v>10880</v>
      </c>
      <c r="J2582" s="50"/>
      <c r="K2582" s="50"/>
      <c r="L2582" s="50"/>
      <c r="M2582" s="50"/>
      <c r="N2582" s="50"/>
      <c r="O2582" s="50"/>
    </row>
    <row r="2583" spans="1:15">
      <c r="A2583" s="48"/>
      <c r="B2583" s="1"/>
      <c r="C2583" s="48"/>
      <c r="D2583" s="48">
        <v>4</v>
      </c>
      <c r="E2583" s="48" t="s">
        <v>15</v>
      </c>
      <c r="F2583" s="6">
        <v>0</v>
      </c>
      <c r="O2583" s="50"/>
    </row>
    <row r="2584" spans="1:15">
      <c r="A2584" s="48"/>
      <c r="B2584" s="1"/>
      <c r="C2584" s="48"/>
      <c r="D2584" s="48">
        <v>4</v>
      </c>
      <c r="E2584" s="48" t="s">
        <v>15</v>
      </c>
      <c r="F2584" s="6">
        <v>2</v>
      </c>
      <c r="G2584" s="50"/>
      <c r="M2584" s="36" t="s">
        <v>266</v>
      </c>
      <c r="O2584" s="50"/>
    </row>
    <row r="2585" spans="1:15">
      <c r="A2585" s="48">
        <v>1600</v>
      </c>
      <c r="B2585" s="1">
        <v>0.75</v>
      </c>
      <c r="C2585" s="48"/>
      <c r="D2585" s="49">
        <f>F2585*2+4</f>
        <v>12</v>
      </c>
      <c r="E2585" s="49" t="s">
        <v>4</v>
      </c>
      <c r="F2585" s="50">
        <v>4</v>
      </c>
      <c r="G2585" s="50">
        <f>M2585-A2585</f>
        <v>1600</v>
      </c>
      <c r="H2585" s="50">
        <f>N2585</f>
        <v>2500</v>
      </c>
      <c r="I2585" s="50">
        <f>G2585+A2585*(2-2*B2585)</f>
        <v>2400</v>
      </c>
      <c r="J2585" s="50">
        <f>L2585</f>
        <v>1300</v>
      </c>
      <c r="K2585" s="50">
        <f>M2585</f>
        <v>3200</v>
      </c>
      <c r="L2585" s="50">
        <f>N2585-1200</f>
        <v>1300</v>
      </c>
      <c r="M2585" s="50">
        <f>M2555</f>
        <v>3200</v>
      </c>
      <c r="N2585" s="50">
        <f>N2575-3300</f>
        <v>2500</v>
      </c>
      <c r="O2585" s="50"/>
    </row>
    <row r="2586" spans="1:15">
      <c r="A2586" s="48"/>
      <c r="B2586" s="1"/>
      <c r="C2586" s="48"/>
      <c r="D2586" s="48">
        <v>4</v>
      </c>
      <c r="E2586" s="48" t="s">
        <v>15</v>
      </c>
      <c r="F2586" s="6">
        <v>3</v>
      </c>
      <c r="G2586" s="50"/>
      <c r="H2586" s="50"/>
      <c r="I2586" s="50"/>
      <c r="J2586" s="50"/>
      <c r="K2586" s="50"/>
      <c r="L2586" s="50"/>
      <c r="M2586" s="50"/>
      <c r="N2586" s="50"/>
      <c r="O2586" s="50"/>
    </row>
    <row r="2587" spans="1:15">
      <c r="A2587" s="1" t="s">
        <v>295</v>
      </c>
      <c r="B2587" s="1" t="s">
        <v>18</v>
      </c>
      <c r="C2587" s="48"/>
      <c r="D2587" s="49">
        <v>44</v>
      </c>
      <c r="E2587" s="49" t="s">
        <v>112</v>
      </c>
      <c r="F2587" s="50">
        <v>200</v>
      </c>
      <c r="G2587" s="50">
        <f>K2585+400</f>
        <v>3600</v>
      </c>
      <c r="H2587" s="50">
        <f>L2585</f>
        <v>1300</v>
      </c>
      <c r="I2587" s="50">
        <f>M2585+400</f>
        <v>3600</v>
      </c>
      <c r="J2587" s="50">
        <f>N2585</f>
        <v>2500</v>
      </c>
      <c r="K2587" s="50"/>
      <c r="L2587" s="50"/>
      <c r="M2587" s="50"/>
      <c r="O2587" s="50"/>
    </row>
    <row r="2588" spans="1:15">
      <c r="A2588" s="48"/>
      <c r="B2588" s="1"/>
      <c r="C2588" s="48"/>
      <c r="D2588" s="49">
        <v>44</v>
      </c>
      <c r="E2588" s="49" t="s">
        <v>112</v>
      </c>
      <c r="F2588" s="50">
        <v>200</v>
      </c>
      <c r="G2588" s="50">
        <f>G2585</f>
        <v>1600</v>
      </c>
      <c r="H2588" s="50">
        <f>H2585+400</f>
        <v>2900</v>
      </c>
      <c r="I2588" s="50">
        <f>M2585</f>
        <v>3200</v>
      </c>
      <c r="J2588" s="50">
        <f>N2585+400</f>
        <v>2900</v>
      </c>
      <c r="K2588" s="36" t="s">
        <v>296</v>
      </c>
      <c r="L2588" s="50"/>
      <c r="M2588" s="50"/>
      <c r="N2588" s="50"/>
      <c r="O2588" s="50"/>
    </row>
    <row r="2589" spans="1:15">
      <c r="A2589" s="48"/>
      <c r="B2589" s="1"/>
      <c r="C2589" s="48"/>
      <c r="D2589" s="49">
        <v>64</v>
      </c>
      <c r="E2589" s="49" t="s">
        <v>114</v>
      </c>
      <c r="F2589" s="50">
        <v>200</v>
      </c>
      <c r="G2589" s="50">
        <f>G2585</f>
        <v>1600</v>
      </c>
      <c r="H2589" s="50">
        <f>J2589</f>
        <v>900</v>
      </c>
      <c r="I2589" s="50">
        <f>M2585</f>
        <v>3200</v>
      </c>
      <c r="J2589" s="50">
        <f>L2589</f>
        <v>900</v>
      </c>
      <c r="K2589" s="50">
        <f>I2585</f>
        <v>2400</v>
      </c>
      <c r="L2589" s="50">
        <f>J2585-400</f>
        <v>900</v>
      </c>
      <c r="M2589" s="31" t="s">
        <v>298</v>
      </c>
      <c r="N2589" s="31" t="s">
        <v>297</v>
      </c>
      <c r="O2589" s="50"/>
    </row>
    <row r="2590" spans="1:15">
      <c r="A2590" s="49"/>
      <c r="B2590" s="3"/>
      <c r="C2590" s="49"/>
      <c r="D2590" s="49">
        <f>ROUNDUP(6+F2590/2,0)</f>
        <v>10</v>
      </c>
      <c r="E2590" s="49" t="s">
        <v>6</v>
      </c>
      <c r="F2590" s="50">
        <f>LEN(G2590)</f>
        <v>8</v>
      </c>
      <c r="G2590" s="36" t="s">
        <v>294</v>
      </c>
      <c r="H2590" s="50">
        <f>N2585-512</f>
        <v>1988</v>
      </c>
      <c r="I2590" s="50">
        <f>M2585-1280</f>
        <v>1920</v>
      </c>
      <c r="J2590" s="50"/>
      <c r="K2590" s="50"/>
      <c r="L2590" s="50"/>
      <c r="M2590" s="50"/>
      <c r="N2590" s="50"/>
      <c r="O2590" s="50"/>
    </row>
    <row r="2591" spans="1:15">
      <c r="A2591" s="49"/>
      <c r="B2591" s="3"/>
      <c r="C2591" s="49"/>
      <c r="D2591" s="48">
        <v>4</v>
      </c>
      <c r="E2591" s="48" t="s">
        <v>15</v>
      </c>
      <c r="F2591" s="6">
        <v>4</v>
      </c>
      <c r="G2591" s="50"/>
      <c r="H2591" s="50"/>
      <c r="I2591" s="50"/>
      <c r="J2591" s="50"/>
      <c r="K2591" s="50"/>
      <c r="L2591" s="50"/>
      <c r="M2591" s="50"/>
      <c r="N2591" s="50"/>
      <c r="O2591" s="50"/>
    </row>
    <row r="2592" spans="1:15">
      <c r="A2592" s="49"/>
      <c r="B2592" s="3"/>
      <c r="C2592" s="49"/>
      <c r="D2592" s="49">
        <f>ROUNDUP(6+F2592/2,0)</f>
        <v>7</v>
      </c>
      <c r="E2592" s="49" t="s">
        <v>6</v>
      </c>
      <c r="F2592" s="50">
        <f>LEN(G2592)</f>
        <v>2</v>
      </c>
      <c r="G2592" s="36" t="s">
        <v>299</v>
      </c>
      <c r="H2592" s="50">
        <f>H2587/2+J2587/2+200</f>
        <v>2100</v>
      </c>
      <c r="I2592" s="50">
        <f>G2587-400</f>
        <v>3200</v>
      </c>
      <c r="J2592" s="50"/>
      <c r="K2592" s="50"/>
      <c r="L2592" s="50"/>
      <c r="M2592" s="50"/>
      <c r="N2592" s="50"/>
      <c r="O2592" s="50"/>
    </row>
    <row r="2593" spans="1:15">
      <c r="A2593" s="48"/>
      <c r="B2593" s="1"/>
      <c r="C2593" s="48"/>
      <c r="D2593" s="48">
        <v>4</v>
      </c>
      <c r="E2593" s="48" t="s">
        <v>15</v>
      </c>
      <c r="F2593" s="6">
        <v>0</v>
      </c>
      <c r="O2593" s="50"/>
    </row>
    <row r="2594" spans="1:15">
      <c r="A2594" s="48"/>
      <c r="B2594" s="1"/>
      <c r="C2594" s="48"/>
      <c r="D2594" s="48">
        <v>4</v>
      </c>
      <c r="E2594" s="48" t="s">
        <v>15</v>
      </c>
      <c r="F2594" s="6">
        <v>2</v>
      </c>
      <c r="G2594" s="50"/>
      <c r="M2594" s="36" t="s">
        <v>266</v>
      </c>
      <c r="O2594" s="50"/>
    </row>
    <row r="2595" spans="1:15">
      <c r="A2595" s="48">
        <v>2500</v>
      </c>
      <c r="B2595" s="1">
        <v>0.8</v>
      </c>
      <c r="C2595" s="48"/>
      <c r="D2595" s="49">
        <f>F2595*2+4</f>
        <v>12</v>
      </c>
      <c r="E2595" s="49" t="s">
        <v>4</v>
      </c>
      <c r="F2595" s="50">
        <v>4</v>
      </c>
      <c r="G2595" s="50">
        <f>M2595-A2595</f>
        <v>4540</v>
      </c>
      <c r="H2595" s="50">
        <f>N2595</f>
        <v>2500</v>
      </c>
      <c r="I2595" s="50">
        <f>G2595+A2595*(2-2*B2595)</f>
        <v>5540</v>
      </c>
      <c r="J2595" s="50">
        <f>L2595</f>
        <v>1300</v>
      </c>
      <c r="K2595" s="50">
        <f>M2595</f>
        <v>7040</v>
      </c>
      <c r="L2595" s="50">
        <f>N2595-1200</f>
        <v>1300</v>
      </c>
      <c r="M2595" s="50">
        <f>M2585+3840</f>
        <v>7040</v>
      </c>
      <c r="N2595" s="50">
        <f>N2585</f>
        <v>2500</v>
      </c>
      <c r="O2595" s="50"/>
    </row>
    <row r="2596" spans="1:15">
      <c r="A2596" s="48"/>
      <c r="B2596" s="1"/>
      <c r="C2596" s="48"/>
      <c r="D2596" s="48">
        <v>4</v>
      </c>
      <c r="E2596" s="48" t="s">
        <v>15</v>
      </c>
      <c r="F2596" s="6">
        <v>3</v>
      </c>
      <c r="G2596" s="50"/>
      <c r="H2596" s="50"/>
      <c r="I2596" s="50"/>
      <c r="J2596" s="50"/>
      <c r="K2596" s="50"/>
      <c r="L2596" s="50"/>
      <c r="M2596" s="50"/>
      <c r="N2596" s="50"/>
      <c r="O2596" s="50"/>
    </row>
    <row r="2597" spans="1:15">
      <c r="A2597" s="1" t="s">
        <v>295</v>
      </c>
      <c r="B2597" s="1" t="s">
        <v>18</v>
      </c>
      <c r="C2597" s="48"/>
      <c r="D2597" s="49">
        <v>44</v>
      </c>
      <c r="E2597" s="49" t="s">
        <v>112</v>
      </c>
      <c r="F2597" s="50">
        <v>200</v>
      </c>
      <c r="G2597" s="50">
        <f>K2595+400</f>
        <v>7440</v>
      </c>
      <c r="H2597" s="50">
        <f>L2595</f>
        <v>1300</v>
      </c>
      <c r="I2597" s="50">
        <f>M2595+400</f>
        <v>7440</v>
      </c>
      <c r="J2597" s="50">
        <f>N2595</f>
        <v>2500</v>
      </c>
      <c r="K2597" s="50"/>
      <c r="L2597" s="50"/>
      <c r="M2597" s="50"/>
      <c r="O2597" s="50"/>
    </row>
    <row r="2598" spans="1:15">
      <c r="A2598" s="48"/>
      <c r="B2598" s="1"/>
      <c r="C2598" s="48"/>
      <c r="D2598" s="49">
        <v>44</v>
      </c>
      <c r="E2598" s="49" t="s">
        <v>112</v>
      </c>
      <c r="F2598" s="50">
        <v>200</v>
      </c>
      <c r="G2598" s="50">
        <f>G2595</f>
        <v>4540</v>
      </c>
      <c r="H2598" s="50">
        <f>H2595+400</f>
        <v>2900</v>
      </c>
      <c r="I2598" s="50">
        <f>M2595</f>
        <v>7040</v>
      </c>
      <c r="J2598" s="50">
        <f>N2595+400</f>
        <v>2900</v>
      </c>
      <c r="K2598" s="36" t="s">
        <v>296</v>
      </c>
      <c r="L2598" s="50"/>
      <c r="M2598" s="50"/>
      <c r="N2598" s="50"/>
      <c r="O2598" s="50"/>
    </row>
    <row r="2599" spans="1:15">
      <c r="A2599" s="48"/>
      <c r="B2599" s="1"/>
      <c r="C2599" s="48"/>
      <c r="D2599" s="49">
        <v>64</v>
      </c>
      <c r="E2599" s="49" t="s">
        <v>114</v>
      </c>
      <c r="F2599" s="50">
        <v>200</v>
      </c>
      <c r="G2599" s="50">
        <f>G2595</f>
        <v>4540</v>
      </c>
      <c r="H2599" s="50">
        <f>J2599</f>
        <v>900</v>
      </c>
      <c r="I2599" s="50">
        <f>M2595</f>
        <v>7040</v>
      </c>
      <c r="J2599" s="50">
        <f>L2599</f>
        <v>900</v>
      </c>
      <c r="K2599" s="50">
        <f>I2595</f>
        <v>5540</v>
      </c>
      <c r="L2599" s="50">
        <f>J2595-400</f>
        <v>900</v>
      </c>
      <c r="M2599" s="31" t="s">
        <v>298</v>
      </c>
      <c r="N2599" s="31" t="s">
        <v>297</v>
      </c>
      <c r="O2599" s="50"/>
    </row>
    <row r="2600" spans="1:15">
      <c r="A2600" s="49"/>
      <c r="B2600" s="3"/>
      <c r="C2600" s="49"/>
      <c r="D2600" s="49">
        <f>ROUNDUP(6+F2600/2,0)</f>
        <v>10</v>
      </c>
      <c r="E2600" s="49" t="s">
        <v>6</v>
      </c>
      <c r="F2600" s="50">
        <f>LEN(G2600)</f>
        <v>8</v>
      </c>
      <c r="G2600" s="36" t="s">
        <v>294</v>
      </c>
      <c r="H2600" s="50">
        <f>N2595-512</f>
        <v>1988</v>
      </c>
      <c r="I2600" s="50">
        <f>M2595-1280</f>
        <v>5760</v>
      </c>
      <c r="J2600" s="50"/>
      <c r="K2600" s="50"/>
      <c r="L2600" s="50"/>
      <c r="M2600" s="50"/>
      <c r="N2600" s="50"/>
      <c r="O2600" s="50"/>
    </row>
    <row r="2601" spans="1:15">
      <c r="A2601" s="49"/>
      <c r="B2601" s="3"/>
      <c r="C2601" s="49"/>
      <c r="D2601" s="48">
        <v>4</v>
      </c>
      <c r="E2601" s="48" t="s">
        <v>15</v>
      </c>
      <c r="F2601" s="6">
        <v>4</v>
      </c>
      <c r="G2601" s="50"/>
      <c r="H2601" s="50"/>
      <c r="I2601" s="50"/>
      <c r="J2601" s="50"/>
      <c r="K2601" s="50"/>
      <c r="L2601" s="50"/>
      <c r="M2601" s="50"/>
      <c r="N2601" s="50"/>
      <c r="O2601" s="50"/>
    </row>
    <row r="2602" spans="1:15">
      <c r="A2602" s="49"/>
      <c r="B2602" s="3"/>
      <c r="C2602" s="49"/>
      <c r="D2602" s="49">
        <f>ROUNDUP(6+F2602/2,0)</f>
        <v>7</v>
      </c>
      <c r="E2602" s="49" t="s">
        <v>6</v>
      </c>
      <c r="F2602" s="50">
        <f>LEN(G2602)</f>
        <v>2</v>
      </c>
      <c r="G2602" s="36" t="s">
        <v>299</v>
      </c>
      <c r="H2602" s="50">
        <f>H2597/2+J2597/2+200</f>
        <v>2100</v>
      </c>
      <c r="I2602" s="50">
        <f>G2597-400</f>
        <v>7040</v>
      </c>
      <c r="J2602" s="50"/>
      <c r="K2602" s="50"/>
      <c r="L2602" s="50"/>
      <c r="M2602" s="50"/>
      <c r="N2602" s="50"/>
      <c r="O2602" s="50"/>
    </row>
    <row r="2603" spans="1:15">
      <c r="A2603" s="48"/>
      <c r="B2603" s="1"/>
      <c r="C2603" s="48"/>
      <c r="D2603" s="48">
        <v>4</v>
      </c>
      <c r="E2603" s="48" t="s">
        <v>15</v>
      </c>
      <c r="F2603" s="6">
        <v>0</v>
      </c>
      <c r="O2603" s="50"/>
    </row>
    <row r="2604" spans="1:15">
      <c r="A2604" s="48"/>
      <c r="B2604" s="1"/>
      <c r="C2604" s="48"/>
      <c r="D2604" s="48">
        <v>4</v>
      </c>
      <c r="E2604" s="48" t="s">
        <v>15</v>
      </c>
      <c r="F2604" s="6">
        <v>2</v>
      </c>
      <c r="G2604" s="50"/>
      <c r="M2604" s="36" t="s">
        <v>266</v>
      </c>
      <c r="O2604" s="50"/>
    </row>
    <row r="2605" spans="1:15">
      <c r="A2605" s="48">
        <v>2500</v>
      </c>
      <c r="B2605" s="1">
        <v>0.85</v>
      </c>
      <c r="C2605" s="48"/>
      <c r="D2605" s="49">
        <f>F2605*2+4</f>
        <v>12</v>
      </c>
      <c r="E2605" s="49" t="s">
        <v>4</v>
      </c>
      <c r="F2605" s="50">
        <v>4</v>
      </c>
      <c r="G2605" s="50">
        <f>M2605-A2605</f>
        <v>8380</v>
      </c>
      <c r="H2605" s="50">
        <f>N2605</f>
        <v>2500</v>
      </c>
      <c r="I2605" s="50">
        <f>G2605+A2605*(2-2*B2605)</f>
        <v>9130</v>
      </c>
      <c r="J2605" s="50">
        <f>L2605</f>
        <v>1300</v>
      </c>
      <c r="K2605" s="50">
        <f>M2605</f>
        <v>10880</v>
      </c>
      <c r="L2605" s="50">
        <f>N2605-1200</f>
        <v>1300</v>
      </c>
      <c r="M2605" s="50">
        <f>M2595+3840</f>
        <v>10880</v>
      </c>
      <c r="N2605" s="50">
        <f>N2595</f>
        <v>2500</v>
      </c>
      <c r="O2605" s="50"/>
    </row>
    <row r="2606" spans="1:15">
      <c r="A2606" s="48"/>
      <c r="B2606" s="1"/>
      <c r="C2606" s="48"/>
      <c r="D2606" s="48">
        <v>4</v>
      </c>
      <c r="E2606" s="48" t="s">
        <v>15</v>
      </c>
      <c r="F2606" s="6">
        <v>3</v>
      </c>
      <c r="G2606" s="50"/>
      <c r="H2606" s="50"/>
      <c r="I2606" s="50"/>
      <c r="J2606" s="50"/>
      <c r="K2606" s="50"/>
      <c r="L2606" s="50"/>
      <c r="M2606" s="50"/>
      <c r="N2606" s="50"/>
      <c r="O2606" s="50"/>
    </row>
    <row r="2607" spans="1:15">
      <c r="A2607" s="1" t="s">
        <v>295</v>
      </c>
      <c r="B2607" s="1" t="s">
        <v>18</v>
      </c>
      <c r="C2607" s="48"/>
      <c r="D2607" s="49">
        <v>44</v>
      </c>
      <c r="E2607" s="49" t="s">
        <v>112</v>
      </c>
      <c r="F2607" s="50">
        <v>200</v>
      </c>
      <c r="G2607" s="50">
        <f>K2605+400</f>
        <v>11280</v>
      </c>
      <c r="H2607" s="50">
        <f>L2605</f>
        <v>1300</v>
      </c>
      <c r="I2607" s="50">
        <f>M2605+400</f>
        <v>11280</v>
      </c>
      <c r="J2607" s="50">
        <f>N2605</f>
        <v>2500</v>
      </c>
      <c r="K2607" s="50"/>
      <c r="L2607" s="50"/>
      <c r="M2607" s="50"/>
      <c r="O2607" s="50"/>
    </row>
    <row r="2608" spans="1:15">
      <c r="A2608" s="48"/>
      <c r="B2608" s="1"/>
      <c r="C2608" s="48"/>
      <c r="D2608" s="49">
        <v>44</v>
      </c>
      <c r="E2608" s="49" t="s">
        <v>112</v>
      </c>
      <c r="F2608" s="50">
        <v>200</v>
      </c>
      <c r="G2608" s="50">
        <f>G2605</f>
        <v>8380</v>
      </c>
      <c r="H2608" s="50">
        <f>H2605+400</f>
        <v>2900</v>
      </c>
      <c r="I2608" s="50">
        <f>M2605</f>
        <v>10880</v>
      </c>
      <c r="J2608" s="50">
        <f>N2605+400</f>
        <v>2900</v>
      </c>
      <c r="K2608" s="36" t="s">
        <v>296</v>
      </c>
      <c r="L2608" s="50"/>
      <c r="M2608" s="50"/>
      <c r="N2608" s="50"/>
      <c r="O2608" s="50"/>
    </row>
    <row r="2609" spans="1:23">
      <c r="A2609" s="48"/>
      <c r="B2609" s="1"/>
      <c r="C2609" s="48"/>
      <c r="D2609" s="49">
        <v>64</v>
      </c>
      <c r="E2609" s="49" t="s">
        <v>114</v>
      </c>
      <c r="F2609" s="50">
        <v>200</v>
      </c>
      <c r="G2609" s="50">
        <f>G2605</f>
        <v>8380</v>
      </c>
      <c r="H2609" s="50">
        <f>J2609</f>
        <v>900</v>
      </c>
      <c r="I2609" s="50">
        <f>M2605</f>
        <v>10880</v>
      </c>
      <c r="J2609" s="50">
        <f>L2609</f>
        <v>900</v>
      </c>
      <c r="K2609" s="50">
        <f>I2605</f>
        <v>9130</v>
      </c>
      <c r="L2609" s="50">
        <f>J2605-400</f>
        <v>900</v>
      </c>
      <c r="M2609" s="31" t="s">
        <v>298</v>
      </c>
      <c r="N2609" s="31" t="s">
        <v>297</v>
      </c>
      <c r="O2609" s="50"/>
    </row>
    <row r="2610" spans="1:23">
      <c r="A2610" s="49"/>
      <c r="B2610" s="3"/>
      <c r="C2610" s="49"/>
      <c r="D2610" s="49">
        <f>ROUNDUP(6+F2610/2,0)</f>
        <v>10</v>
      </c>
      <c r="E2610" s="49" t="s">
        <v>6</v>
      </c>
      <c r="F2610" s="50">
        <f>LEN(G2610)</f>
        <v>8</v>
      </c>
      <c r="G2610" s="36" t="s">
        <v>294</v>
      </c>
      <c r="H2610" s="50">
        <f>N2605-512</f>
        <v>1988</v>
      </c>
      <c r="I2610" s="50">
        <f>M2605-1280</f>
        <v>9600</v>
      </c>
      <c r="J2610" s="50"/>
      <c r="K2610" s="50"/>
      <c r="L2610" s="50"/>
      <c r="M2610" s="50"/>
      <c r="N2610" s="50"/>
      <c r="O2610" s="50"/>
    </row>
    <row r="2611" spans="1:23">
      <c r="A2611" s="49"/>
      <c r="B2611" s="3"/>
      <c r="C2611" s="49"/>
      <c r="D2611" s="48">
        <v>4</v>
      </c>
      <c r="E2611" s="48" t="s">
        <v>15</v>
      </c>
      <c r="F2611" s="6">
        <v>4</v>
      </c>
      <c r="G2611" s="50"/>
      <c r="H2611" s="50"/>
      <c r="I2611" s="50"/>
      <c r="J2611" s="50"/>
      <c r="K2611" s="50"/>
      <c r="L2611" s="50"/>
      <c r="M2611" s="50"/>
      <c r="N2611" s="50"/>
      <c r="O2611" s="50"/>
    </row>
    <row r="2612" spans="1:23">
      <c r="A2612" s="49"/>
      <c r="B2612" s="3"/>
      <c r="C2612" s="49"/>
      <c r="D2612" s="49">
        <f>ROUNDUP(6+F2612/2,0)</f>
        <v>7</v>
      </c>
      <c r="E2612" s="49" t="s">
        <v>6</v>
      </c>
      <c r="F2612" s="50">
        <f>LEN(G2612)</f>
        <v>2</v>
      </c>
      <c r="G2612" s="36" t="s">
        <v>299</v>
      </c>
      <c r="H2612" s="50">
        <f>H2607/2+J2607/2+200</f>
        <v>2100</v>
      </c>
      <c r="I2612" s="50">
        <f>G2607-400</f>
        <v>10880</v>
      </c>
      <c r="J2612" s="50"/>
      <c r="K2612" s="50"/>
      <c r="L2612" s="50"/>
      <c r="M2612" s="50"/>
      <c r="N2612" s="50"/>
      <c r="O2612" s="50"/>
    </row>
    <row r="2613" spans="1:23">
      <c r="A2613" s="49"/>
      <c r="B2613" s="49"/>
      <c r="C2613" s="49"/>
      <c r="D2613" s="49">
        <v>7</v>
      </c>
      <c r="E2613" s="49" t="s">
        <v>0</v>
      </c>
      <c r="F2613" s="50">
        <f>L2555-50</f>
        <v>4250</v>
      </c>
      <c r="G2613" s="50">
        <f>G2546-50</f>
        <v>1550</v>
      </c>
      <c r="H2613" s="50">
        <f t="shared" ref="H2613:I2618" si="150">F2613+100</f>
        <v>4350</v>
      </c>
      <c r="I2613" s="50">
        <f t="shared" si="150"/>
        <v>1650</v>
      </c>
      <c r="K2613" s="50"/>
      <c r="L2613" s="50"/>
      <c r="M2613" s="50"/>
      <c r="N2613" s="50"/>
      <c r="O2613" s="50"/>
    </row>
    <row r="2614" spans="1:23">
      <c r="A2614" s="49"/>
      <c r="B2614" s="49"/>
      <c r="C2614" s="49"/>
      <c r="D2614" s="49">
        <v>7</v>
      </c>
      <c r="E2614" s="49" t="s">
        <v>0</v>
      </c>
      <c r="F2614" s="50">
        <f>F2613</f>
        <v>4250</v>
      </c>
      <c r="G2614" s="50">
        <f>I2546-50</f>
        <v>2350</v>
      </c>
      <c r="H2614" s="50">
        <f t="shared" si="150"/>
        <v>4350</v>
      </c>
      <c r="I2614" s="50">
        <f t="shared" si="150"/>
        <v>2450</v>
      </c>
      <c r="J2614" s="50"/>
      <c r="K2614" s="50"/>
      <c r="L2614" s="50"/>
      <c r="M2614" s="50"/>
      <c r="N2614" s="50"/>
      <c r="O2614" s="50"/>
    </row>
    <row r="2615" spans="1:23">
      <c r="A2615" s="49"/>
      <c r="B2615" s="49"/>
      <c r="C2615" s="49"/>
      <c r="D2615" s="49">
        <v>7</v>
      </c>
      <c r="E2615" s="49" t="s">
        <v>0</v>
      </c>
      <c r="F2615" s="50">
        <f>F2613+690</f>
        <v>4940</v>
      </c>
      <c r="G2615" s="50">
        <f>G2547-50</f>
        <v>4490</v>
      </c>
      <c r="H2615" s="50">
        <f t="shared" si="150"/>
        <v>5040</v>
      </c>
      <c r="I2615" s="50">
        <f t="shared" si="150"/>
        <v>4590</v>
      </c>
      <c r="J2615" s="50"/>
      <c r="K2615" s="50"/>
      <c r="L2615" s="50"/>
      <c r="M2615" s="50"/>
      <c r="N2615" s="50"/>
      <c r="O2615" s="50"/>
    </row>
    <row r="2616" spans="1:23">
      <c r="A2616" s="49"/>
      <c r="B2616" s="49"/>
      <c r="C2616" s="49"/>
      <c r="D2616" s="49">
        <v>7</v>
      </c>
      <c r="E2616" s="49" t="s">
        <v>0</v>
      </c>
      <c r="F2616" s="50">
        <f>F2614</f>
        <v>4250</v>
      </c>
      <c r="G2616" s="50">
        <f>I2547-50</f>
        <v>5490</v>
      </c>
      <c r="H2616" s="50">
        <f t="shared" si="150"/>
        <v>4350</v>
      </c>
      <c r="I2616" s="50">
        <f t="shared" si="150"/>
        <v>5590</v>
      </c>
      <c r="J2616" s="50"/>
      <c r="K2616" s="50"/>
      <c r="L2616" s="50"/>
      <c r="M2616" s="50"/>
      <c r="N2616" s="50"/>
      <c r="O2616" s="50"/>
    </row>
    <row r="2617" spans="1:23">
      <c r="A2617" s="49"/>
      <c r="B2617" s="49"/>
      <c r="C2617" s="49"/>
      <c r="D2617" s="49">
        <v>7</v>
      </c>
      <c r="E2617" s="49" t="s">
        <v>0</v>
      </c>
      <c r="F2617" s="50">
        <f>F2613+1150</f>
        <v>5400</v>
      </c>
      <c r="G2617" s="50">
        <f>G2548-50</f>
        <v>8330</v>
      </c>
      <c r="H2617" s="50">
        <f t="shared" si="150"/>
        <v>5500</v>
      </c>
      <c r="I2617" s="50">
        <f t="shared" si="150"/>
        <v>8430</v>
      </c>
      <c r="J2617" s="50"/>
      <c r="K2617" s="50"/>
      <c r="L2617" s="50"/>
      <c r="M2617" s="50"/>
      <c r="N2617" s="50"/>
      <c r="O2617" s="50"/>
    </row>
    <row r="2618" spans="1:23">
      <c r="A2618" s="49"/>
      <c r="B2618" s="49"/>
      <c r="C2618" s="49"/>
      <c r="D2618" s="49">
        <v>7</v>
      </c>
      <c r="E2618" s="49" t="s">
        <v>0</v>
      </c>
      <c r="F2618" s="50">
        <f>F2613+620</f>
        <v>4870</v>
      </c>
      <c r="G2618" s="50">
        <f>I2548-50</f>
        <v>9080</v>
      </c>
      <c r="H2618" s="50">
        <f t="shared" si="150"/>
        <v>4970</v>
      </c>
      <c r="I2618" s="50">
        <f t="shared" si="150"/>
        <v>9180</v>
      </c>
      <c r="J2618" s="50"/>
      <c r="K2618" s="50"/>
      <c r="L2618" s="50"/>
      <c r="M2618" s="50"/>
      <c r="N2618" s="50"/>
      <c r="O2618" s="50"/>
    </row>
    <row r="2621" spans="1:23">
      <c r="A2621" s="48" t="s">
        <v>383</v>
      </c>
      <c r="B2621" s="1" t="s">
        <v>807</v>
      </c>
      <c r="D2621" s="48" t="s">
        <v>449</v>
      </c>
      <c r="E2621" s="48">
        <v>52695</v>
      </c>
      <c r="F2621" s="6">
        <v>39622</v>
      </c>
      <c r="G2621" s="6">
        <v>0</v>
      </c>
      <c r="H2621" s="6">
        <v>0</v>
      </c>
      <c r="I2621" s="6">
        <v>0</v>
      </c>
      <c r="J2621" s="6">
        <v>12000</v>
      </c>
      <c r="K2621" s="6">
        <v>3100</v>
      </c>
      <c r="L2621" s="6">
        <v>1920</v>
      </c>
      <c r="M2621" s="6">
        <v>0</v>
      </c>
      <c r="N2621" s="6">
        <v>0</v>
      </c>
      <c r="O2621" s="6" t="e">
        <f ca="1">checksummeint(G2621,H2621,I2621,J2621,K2621,L2621,M2621,N2621)</f>
        <v>#NAME?</v>
      </c>
      <c r="P2621" s="48"/>
      <c r="Q2621" s="48"/>
      <c r="R2621" s="48"/>
      <c r="S2621" s="48"/>
      <c r="T2621" s="49"/>
      <c r="U2621" s="49"/>
      <c r="V2621" s="48"/>
      <c r="W2621" s="48"/>
    </row>
    <row r="2622" spans="1:23">
      <c r="A2622" s="1"/>
      <c r="D2622" s="48">
        <v>28</v>
      </c>
      <c r="E2622" s="48" t="s">
        <v>12</v>
      </c>
      <c r="F2622" s="6">
        <v>360</v>
      </c>
      <c r="G2622" s="6">
        <v>0</v>
      </c>
      <c r="H2622" s="6">
        <v>0</v>
      </c>
      <c r="I2622" s="6">
        <v>0</v>
      </c>
      <c r="J2622" s="6">
        <v>400</v>
      </c>
      <c r="K2622" s="6">
        <v>0</v>
      </c>
      <c r="L2622" s="6">
        <v>0</v>
      </c>
      <c r="M2622" s="6">
        <v>0</v>
      </c>
      <c r="N2622" s="6">
        <v>0</v>
      </c>
      <c r="O2622" s="6" t="s">
        <v>19</v>
      </c>
      <c r="P2622" s="48"/>
      <c r="Q2622" s="48"/>
      <c r="R2622" s="48"/>
      <c r="S2622" s="48"/>
      <c r="T2622" s="49"/>
      <c r="U2622" s="49"/>
      <c r="V2622" s="49"/>
      <c r="W2622" s="49"/>
    </row>
    <row r="2623" spans="1:23">
      <c r="D2623" s="48">
        <v>5</v>
      </c>
      <c r="E2623" s="48" t="s">
        <v>59</v>
      </c>
      <c r="F2623" s="6">
        <v>1</v>
      </c>
      <c r="G2623" s="6">
        <v>0</v>
      </c>
      <c r="P2623" s="48"/>
      <c r="Q2623" s="48"/>
      <c r="R2623" s="48"/>
      <c r="S2623" s="48"/>
      <c r="T2623" s="49"/>
      <c r="U2623" s="49"/>
      <c r="V2623" s="49"/>
      <c r="W2623" s="49"/>
    </row>
    <row r="2624" spans="1:23">
      <c r="D2624" s="48">
        <v>8</v>
      </c>
      <c r="E2624" s="48" t="s">
        <v>14</v>
      </c>
      <c r="F2624" s="6">
        <v>0</v>
      </c>
      <c r="G2624" s="6">
        <v>16</v>
      </c>
      <c r="H2624" s="6">
        <v>0</v>
      </c>
      <c r="I2624" s="6">
        <v>0</v>
      </c>
      <c r="J2624" s="6">
        <v>0</v>
      </c>
      <c r="M2624" s="44"/>
      <c r="N2624" s="45"/>
      <c r="O2624" s="46"/>
      <c r="P2624" s="48"/>
      <c r="Q2624" s="48"/>
      <c r="R2624" s="48"/>
      <c r="S2624" s="48"/>
      <c r="T2624" s="49"/>
      <c r="U2624" s="49"/>
      <c r="V2624" s="49"/>
      <c r="W2624" s="49"/>
    </row>
    <row r="2625" spans="1:23">
      <c r="D2625" s="48">
        <v>7</v>
      </c>
      <c r="E2625" s="48" t="s">
        <v>11</v>
      </c>
      <c r="F2625" s="6">
        <v>0</v>
      </c>
      <c r="G2625" s="50">
        <f>255*256+192</f>
        <v>65472</v>
      </c>
      <c r="H2625" s="50">
        <v>192</v>
      </c>
      <c r="I2625" s="6">
        <v>0</v>
      </c>
      <c r="P2625" s="48"/>
      <c r="Q2625" s="48"/>
      <c r="R2625" s="48"/>
      <c r="S2625" s="48"/>
      <c r="T2625" s="49"/>
      <c r="U2625" s="49"/>
      <c r="V2625" s="49"/>
      <c r="W2625" s="49"/>
    </row>
    <row r="2626" spans="1:23">
      <c r="D2626" s="48">
        <v>7</v>
      </c>
      <c r="E2626" s="48" t="s">
        <v>11</v>
      </c>
      <c r="F2626" s="6">
        <v>0</v>
      </c>
      <c r="G2626" s="6">
        <v>0</v>
      </c>
      <c r="H2626" s="6">
        <v>0</v>
      </c>
      <c r="I2626" s="6">
        <v>0</v>
      </c>
      <c r="P2626" s="48"/>
      <c r="Q2626" s="48"/>
      <c r="R2626" s="48"/>
      <c r="S2626" s="48"/>
      <c r="T2626" s="49"/>
      <c r="U2626" s="49"/>
      <c r="V2626" s="49"/>
      <c r="W2626" s="49"/>
    </row>
    <row r="2627" spans="1:23">
      <c r="A2627" s="1"/>
      <c r="B2627" s="1"/>
      <c r="D2627" s="48">
        <v>8</v>
      </c>
      <c r="E2627" s="48" t="s">
        <v>14</v>
      </c>
      <c r="F2627" s="6">
        <v>0</v>
      </c>
      <c r="G2627" s="6">
        <v>40</v>
      </c>
      <c r="H2627" s="6">
        <v>0</v>
      </c>
      <c r="I2627" s="6">
        <v>0</v>
      </c>
      <c r="J2627" s="6">
        <v>0</v>
      </c>
      <c r="P2627" s="48"/>
      <c r="Q2627" s="48"/>
      <c r="R2627" s="48"/>
      <c r="S2627" s="48"/>
      <c r="T2627" s="49"/>
      <c r="U2627" s="49"/>
      <c r="V2627" s="49"/>
      <c r="W2627" s="49"/>
    </row>
    <row r="2628" spans="1:23">
      <c r="A2628" s="1"/>
      <c r="B2628" s="1"/>
      <c r="D2628" s="48">
        <v>4</v>
      </c>
      <c r="E2628" s="48" t="s">
        <v>15</v>
      </c>
      <c r="F2628" s="6">
        <v>0</v>
      </c>
      <c r="G2628" s="50"/>
      <c r="P2628" s="48"/>
      <c r="Q2628" s="48"/>
      <c r="R2628" s="48"/>
      <c r="S2628" s="48"/>
      <c r="T2628" s="49"/>
      <c r="U2628" s="49"/>
      <c r="V2628" s="49"/>
      <c r="W2628" s="49"/>
    </row>
    <row r="2629" spans="1:23">
      <c r="A2629" s="1"/>
      <c r="B2629" s="1"/>
      <c r="D2629" s="48"/>
      <c r="E2629" s="1" t="s">
        <v>448</v>
      </c>
      <c r="G2629" s="50"/>
      <c r="I2629" s="6">
        <v>4</v>
      </c>
      <c r="J2629" s="6">
        <v>13</v>
      </c>
      <c r="P2629" s="48"/>
      <c r="Q2629" s="48"/>
      <c r="R2629" s="48"/>
      <c r="S2629" s="48"/>
      <c r="T2629" s="49"/>
      <c r="U2629" s="49"/>
      <c r="V2629" s="49"/>
      <c r="W2629" s="49"/>
    </row>
    <row r="2630" spans="1:23">
      <c r="A2630" s="1"/>
      <c r="B2630" s="1"/>
      <c r="D2630" s="48"/>
      <c r="E2630" s="48" t="s">
        <v>113</v>
      </c>
      <c r="F2630" s="6">
        <v>200</v>
      </c>
      <c r="G2630" s="50">
        <v>300</v>
      </c>
      <c r="H2630" s="50">
        <v>2900</v>
      </c>
      <c r="I2630" s="50">
        <f>G2630+W2630*I2629</f>
        <v>3420</v>
      </c>
      <c r="J2630" s="50">
        <f>H2630-W2631*J2629</f>
        <v>560</v>
      </c>
      <c r="K2630" s="50" t="s">
        <v>22</v>
      </c>
      <c r="L2630" s="49">
        <v>0</v>
      </c>
      <c r="M2630" s="49">
        <v>0</v>
      </c>
      <c r="N2630" s="49">
        <f>COUNT(S2630:CD2630)</f>
        <v>5</v>
      </c>
      <c r="O2630" s="50">
        <v>0</v>
      </c>
      <c r="P2630" s="49">
        <v>1</v>
      </c>
      <c r="Q2630" s="49">
        <v>3</v>
      </c>
      <c r="R2630" s="49">
        <v>0</v>
      </c>
      <c r="S2630" s="49">
        <v>0</v>
      </c>
      <c r="T2630" s="49">
        <v>162</v>
      </c>
      <c r="U2630" s="49">
        <v>300</v>
      </c>
      <c r="V2630" s="49">
        <v>492</v>
      </c>
      <c r="W2630" s="49">
        <v>780</v>
      </c>
    </row>
    <row r="2631" spans="1:23">
      <c r="A2631" s="1"/>
      <c r="B2631" s="1"/>
      <c r="D2631" s="48">
        <v>4</v>
      </c>
      <c r="E2631" s="48" t="s">
        <v>15</v>
      </c>
      <c r="F2631" s="6">
        <v>2</v>
      </c>
      <c r="G2631" s="49"/>
      <c r="H2631" s="49"/>
      <c r="I2631" s="49"/>
      <c r="J2631" s="49"/>
      <c r="K2631" s="36" t="s">
        <v>305</v>
      </c>
      <c r="L2631" s="50"/>
      <c r="N2631" s="6">
        <v>2</v>
      </c>
      <c r="P2631" s="48"/>
      <c r="Q2631" s="50">
        <v>2</v>
      </c>
      <c r="R2631" s="49"/>
      <c r="S2631" s="49">
        <v>0</v>
      </c>
      <c r="T2631" s="49">
        <v>89.999999999999986</v>
      </c>
      <c r="U2631" s="49">
        <v>90</v>
      </c>
      <c r="V2631" s="49">
        <v>180</v>
      </c>
      <c r="W2631" s="49">
        <v>180</v>
      </c>
    </row>
    <row r="2632" spans="1:23">
      <c r="A2632" s="1"/>
      <c r="B2632" s="1"/>
      <c r="D2632" s="48"/>
      <c r="E2632" s="1" t="s">
        <v>448</v>
      </c>
      <c r="G2632" s="50"/>
      <c r="H2632" s="50"/>
      <c r="I2632" s="50"/>
      <c r="J2632" s="50"/>
      <c r="K2632" s="50"/>
      <c r="L2632" s="50"/>
      <c r="P2632" s="48">
        <v>4</v>
      </c>
      <c r="Q2632" s="49">
        <v>-1</v>
      </c>
      <c r="R2632" s="49"/>
      <c r="S2632" s="49">
        <f>S2631</f>
        <v>0</v>
      </c>
      <c r="T2632" s="49">
        <f t="shared" ref="T2632:W2632" si="151">T2631</f>
        <v>89.999999999999986</v>
      </c>
      <c r="U2632" s="49">
        <f t="shared" si="151"/>
        <v>90</v>
      </c>
      <c r="V2632" s="49">
        <f t="shared" si="151"/>
        <v>180</v>
      </c>
      <c r="W2632" s="49">
        <f t="shared" si="151"/>
        <v>180</v>
      </c>
    </row>
    <row r="2633" spans="1:23">
      <c r="A2633" s="1"/>
      <c r="B2633" s="1"/>
      <c r="D2633" s="49">
        <f>F2633*2+4</f>
        <v>14</v>
      </c>
      <c r="E2633" s="3" t="s">
        <v>448</v>
      </c>
      <c r="F2633" s="50">
        <v>5</v>
      </c>
      <c r="G2633" s="50">
        <f>G2630</f>
        <v>300</v>
      </c>
      <c r="H2633" s="50">
        <f>H2630</f>
        <v>2900</v>
      </c>
      <c r="I2633" s="50">
        <f>G2633+I2629*T2630</f>
        <v>948</v>
      </c>
      <c r="J2633" s="50">
        <f>H2633-J2629*T2631</f>
        <v>1730.0000000000002</v>
      </c>
      <c r="K2633" s="50">
        <f>G2633+I2629*U2630</f>
        <v>1500</v>
      </c>
      <c r="L2633" s="50">
        <f>H2633-J2629*U2631</f>
        <v>1730</v>
      </c>
      <c r="M2633" s="50">
        <f>G2633+I2629*V2630</f>
        <v>2268</v>
      </c>
      <c r="N2633" s="50">
        <f>H2633-J2629*V2631</f>
        <v>560</v>
      </c>
      <c r="O2633" s="50">
        <f>G2633+I2629*W2630</f>
        <v>3420</v>
      </c>
      <c r="P2633" s="49">
        <f>H2633-J2629*W2631</f>
        <v>560</v>
      </c>
      <c r="Q2633" s="49"/>
      <c r="R2633" s="49"/>
      <c r="S2633" s="49"/>
      <c r="T2633" s="49"/>
      <c r="U2633" s="48"/>
      <c r="V2633" s="49"/>
      <c r="W2633" s="49"/>
    </row>
    <row r="2634" spans="1:23">
      <c r="A2634" s="1"/>
      <c r="B2634" s="1"/>
      <c r="D2634" s="48">
        <v>4</v>
      </c>
      <c r="E2634" s="48" t="s">
        <v>15</v>
      </c>
      <c r="F2634" s="6">
        <v>1</v>
      </c>
      <c r="G2634" s="50"/>
      <c r="H2634" s="50"/>
      <c r="I2634" s="50"/>
      <c r="J2634" s="50"/>
      <c r="K2634" s="50"/>
      <c r="L2634" s="50"/>
      <c r="P2634" s="48"/>
      <c r="Q2634" s="49"/>
      <c r="R2634" s="49"/>
      <c r="S2634" s="49"/>
      <c r="T2634" s="49"/>
      <c r="U2634" s="48"/>
      <c r="V2634" s="48"/>
      <c r="W2634" s="48"/>
    </row>
    <row r="2635" spans="1:23">
      <c r="A2635" s="3"/>
      <c r="B2635" s="3"/>
      <c r="C2635" s="2"/>
      <c r="D2635" s="49">
        <v>7</v>
      </c>
      <c r="E2635" s="49" t="s">
        <v>0</v>
      </c>
      <c r="F2635" s="50">
        <f>J2633-50</f>
        <v>1680.0000000000002</v>
      </c>
      <c r="G2635" s="50">
        <f>I2633-50</f>
        <v>898</v>
      </c>
      <c r="H2635" s="50">
        <f t="shared" ref="H2635:I2638" si="152">F2635+100</f>
        <v>1780.0000000000002</v>
      </c>
      <c r="I2635" s="50">
        <f t="shared" si="152"/>
        <v>998</v>
      </c>
      <c r="J2635" s="50"/>
      <c r="K2635" s="50"/>
      <c r="L2635" s="50"/>
      <c r="M2635" s="50"/>
      <c r="N2635" s="50"/>
      <c r="O2635" s="50"/>
      <c r="P2635" s="49"/>
      <c r="Q2635" s="49"/>
      <c r="R2635" s="49"/>
      <c r="S2635" s="49"/>
      <c r="T2635" s="49"/>
      <c r="U2635" s="49"/>
      <c r="V2635" s="48"/>
      <c r="W2635" s="48"/>
    </row>
    <row r="2636" spans="1:23">
      <c r="A2636" s="3"/>
      <c r="B2636" s="3"/>
      <c r="C2636" s="2"/>
      <c r="D2636" s="49">
        <v>7</v>
      </c>
      <c r="E2636" s="49" t="s">
        <v>0</v>
      </c>
      <c r="F2636" s="50">
        <f>L2633-50</f>
        <v>1680</v>
      </c>
      <c r="G2636" s="50">
        <f>K2633-50</f>
        <v>1450</v>
      </c>
      <c r="H2636" s="50">
        <f t="shared" si="152"/>
        <v>1780</v>
      </c>
      <c r="I2636" s="50">
        <f t="shared" si="152"/>
        <v>1550</v>
      </c>
      <c r="J2636" s="50"/>
      <c r="K2636" s="50"/>
      <c r="L2636" s="50"/>
      <c r="M2636" s="50"/>
      <c r="N2636" s="50"/>
      <c r="O2636" s="50"/>
      <c r="P2636" s="49"/>
      <c r="Q2636" s="49"/>
      <c r="R2636" s="49"/>
      <c r="S2636" s="49"/>
      <c r="T2636" s="49"/>
      <c r="U2636" s="49"/>
      <c r="V2636" s="48"/>
      <c r="W2636" s="48"/>
    </row>
    <row r="2637" spans="1:23">
      <c r="A2637" s="3"/>
      <c r="B2637" s="3"/>
      <c r="C2637" s="2"/>
      <c r="D2637" s="49">
        <v>7</v>
      </c>
      <c r="E2637" s="49" t="s">
        <v>0</v>
      </c>
      <c r="F2637" s="50">
        <f>N2633-50</f>
        <v>510</v>
      </c>
      <c r="G2637" s="50">
        <f>M2633-50</f>
        <v>2218</v>
      </c>
      <c r="H2637" s="50">
        <f t="shared" si="152"/>
        <v>610</v>
      </c>
      <c r="I2637" s="50">
        <f t="shared" si="152"/>
        <v>2318</v>
      </c>
      <c r="K2637" s="50"/>
      <c r="L2637" s="50"/>
      <c r="M2637" s="50"/>
      <c r="N2637" s="50"/>
      <c r="O2637" s="50"/>
      <c r="P2637" s="49"/>
      <c r="Q2637" s="49"/>
      <c r="R2637" s="49"/>
      <c r="S2637" s="49"/>
      <c r="T2637" s="49"/>
      <c r="U2637" s="49"/>
      <c r="V2637" s="49"/>
      <c r="W2637" s="49"/>
    </row>
    <row r="2638" spans="1:23">
      <c r="A2638" s="2"/>
      <c r="B2638" s="2"/>
      <c r="C2638" s="2"/>
      <c r="D2638" s="49">
        <v>7</v>
      </c>
      <c r="E2638" s="49" t="s">
        <v>0</v>
      </c>
      <c r="F2638" s="50">
        <f>P2633-50</f>
        <v>510</v>
      </c>
      <c r="G2638" s="50">
        <f>O2633-50</f>
        <v>3370</v>
      </c>
      <c r="H2638" s="50">
        <f t="shared" si="152"/>
        <v>610</v>
      </c>
      <c r="I2638" s="50">
        <f t="shared" si="152"/>
        <v>3470</v>
      </c>
      <c r="J2638" s="50"/>
      <c r="K2638" s="50"/>
      <c r="L2638" s="50"/>
      <c r="M2638" s="50"/>
      <c r="N2638" s="50"/>
      <c r="O2638" s="50"/>
      <c r="P2638" s="49"/>
      <c r="Q2638" s="49"/>
      <c r="R2638" s="49"/>
      <c r="S2638" s="49"/>
      <c r="T2638" s="49"/>
      <c r="U2638" s="49"/>
      <c r="V2638" s="48"/>
      <c r="W2638" s="48"/>
    </row>
    <row r="2639" spans="1:23">
      <c r="A2639" s="2"/>
      <c r="B2639" s="2"/>
      <c r="C2639" s="2"/>
      <c r="D2639" s="49">
        <f>ROUNDUP(6+F2639/2,0)</f>
        <v>7</v>
      </c>
      <c r="E2639" s="49" t="s">
        <v>6</v>
      </c>
      <c r="F2639" s="50">
        <f>LEN(G2639)</f>
        <v>2</v>
      </c>
      <c r="G2639" s="50" t="s">
        <v>130</v>
      </c>
      <c r="H2639" s="50">
        <f t="shared" ref="H2639:I2641" si="153">H2635</f>
        <v>1780.0000000000002</v>
      </c>
      <c r="I2639" s="50">
        <f t="shared" si="153"/>
        <v>998</v>
      </c>
      <c r="J2639" s="50"/>
      <c r="K2639" s="50"/>
      <c r="L2639" s="50"/>
      <c r="P2639" s="48"/>
      <c r="Q2639" s="49"/>
      <c r="R2639" s="49"/>
      <c r="S2639" s="48"/>
      <c r="T2639" s="49"/>
      <c r="U2639" s="49"/>
      <c r="V2639" s="48"/>
      <c r="W2639" s="48"/>
    </row>
    <row r="2640" spans="1:23">
      <c r="A2640" s="2"/>
      <c r="B2640" s="2"/>
      <c r="C2640" s="2"/>
      <c r="D2640" s="49">
        <f>ROUNDUP(6+F2640/2,0)</f>
        <v>7</v>
      </c>
      <c r="E2640" s="49" t="s">
        <v>6</v>
      </c>
      <c r="F2640" s="50">
        <f>LEN(G2640)</f>
        <v>2</v>
      </c>
      <c r="G2640" s="50" t="s">
        <v>285</v>
      </c>
      <c r="H2640" s="50">
        <f t="shared" si="153"/>
        <v>1780</v>
      </c>
      <c r="I2640" s="50">
        <f t="shared" si="153"/>
        <v>1550</v>
      </c>
      <c r="J2640" s="50"/>
      <c r="K2640" s="50"/>
      <c r="L2640" s="50"/>
      <c r="P2640" s="48"/>
      <c r="Q2640" s="49"/>
      <c r="R2640" s="49"/>
      <c r="S2640" s="48"/>
      <c r="T2640" s="49"/>
      <c r="U2640" s="49"/>
      <c r="V2640" s="48"/>
      <c r="W2640" s="48"/>
    </row>
    <row r="2641" spans="1:23">
      <c r="A2641" s="2"/>
      <c r="B2641" s="2"/>
      <c r="C2641" s="2"/>
      <c r="D2641" s="49">
        <f>ROUNDUP(6+F2641/2,0)</f>
        <v>7</v>
      </c>
      <c r="E2641" s="49" t="s">
        <v>6</v>
      </c>
      <c r="F2641" s="50">
        <f>LEN(G2641)</f>
        <v>2</v>
      </c>
      <c r="G2641" s="50" t="s">
        <v>131</v>
      </c>
      <c r="H2641" s="50">
        <f t="shared" si="153"/>
        <v>610</v>
      </c>
      <c r="I2641" s="50">
        <f t="shared" si="153"/>
        <v>2318</v>
      </c>
      <c r="J2641" s="50"/>
      <c r="K2641" s="50"/>
      <c r="L2641" s="50"/>
      <c r="M2641" s="50"/>
      <c r="N2641" s="50"/>
      <c r="O2641" s="50"/>
      <c r="P2641" s="49"/>
      <c r="Q2641" s="49"/>
      <c r="R2641" s="49"/>
      <c r="S2641" s="49"/>
      <c r="T2641" s="49"/>
      <c r="U2641" s="49"/>
      <c r="V2641" s="48"/>
      <c r="W2641" s="48"/>
    </row>
    <row r="2642" spans="1:23">
      <c r="D2642" s="48"/>
      <c r="E2642" s="1" t="s">
        <v>448</v>
      </c>
      <c r="G2642" s="50"/>
      <c r="I2642" s="6">
        <v>3</v>
      </c>
      <c r="J2642" s="6">
        <v>13</v>
      </c>
      <c r="P2642" s="48"/>
      <c r="Q2642" s="49"/>
      <c r="R2642" s="49"/>
      <c r="S2642" s="48"/>
      <c r="T2642" s="48"/>
      <c r="U2642" s="48"/>
      <c r="V2642" s="49"/>
      <c r="W2642" s="49"/>
    </row>
    <row r="2643" spans="1:23">
      <c r="D2643" s="48"/>
      <c r="E2643" s="48" t="s">
        <v>113</v>
      </c>
      <c r="F2643" s="6">
        <v>200</v>
      </c>
      <c r="G2643" s="50">
        <f>G2630+4096</f>
        <v>4396</v>
      </c>
      <c r="H2643" s="50">
        <f>H2630</f>
        <v>2900</v>
      </c>
      <c r="I2643" s="50">
        <f>G2643+W2643*I2642</f>
        <v>7276</v>
      </c>
      <c r="J2643" s="50">
        <f>H2643-W2644*J2642</f>
        <v>560</v>
      </c>
      <c r="K2643" s="50" t="s">
        <v>22</v>
      </c>
      <c r="L2643" s="49"/>
      <c r="M2643" s="49"/>
      <c r="N2643" s="49">
        <f>COUNT(S2643:CD2643)</f>
        <v>5</v>
      </c>
      <c r="O2643" s="50"/>
      <c r="P2643" s="49"/>
      <c r="Q2643" s="49">
        <v>3</v>
      </c>
      <c r="R2643" s="49"/>
      <c r="S2643" s="49">
        <v>0</v>
      </c>
      <c r="T2643" s="49">
        <v>120</v>
      </c>
      <c r="U2643" s="49">
        <v>312</v>
      </c>
      <c r="V2643" s="49">
        <v>624.00000000000011</v>
      </c>
      <c r="W2643" s="49">
        <v>960</v>
      </c>
    </row>
    <row r="2644" spans="1:23">
      <c r="D2644" s="48">
        <v>8</v>
      </c>
      <c r="E2644" s="48" t="s">
        <v>14</v>
      </c>
      <c r="F2644" s="6">
        <v>0</v>
      </c>
      <c r="G2644" s="6">
        <v>40</v>
      </c>
      <c r="H2644" s="6">
        <v>0</v>
      </c>
      <c r="I2644" s="6">
        <v>0</v>
      </c>
      <c r="J2644" s="6">
        <v>0</v>
      </c>
      <c r="K2644" s="36" t="s">
        <v>306</v>
      </c>
      <c r="L2644" s="50"/>
      <c r="P2644" s="48"/>
      <c r="Q2644" s="50">
        <v>2</v>
      </c>
      <c r="R2644" s="49"/>
      <c r="S2644" s="49">
        <v>0</v>
      </c>
      <c r="T2644" s="49">
        <v>50.000000000000007</v>
      </c>
      <c r="U2644" s="49">
        <v>124.28571428571428</v>
      </c>
      <c r="V2644" s="49">
        <v>180</v>
      </c>
      <c r="W2644" s="49">
        <v>180</v>
      </c>
    </row>
    <row r="2645" spans="1:23">
      <c r="D2645" s="48">
        <v>4</v>
      </c>
      <c r="E2645" s="48" t="s">
        <v>15</v>
      </c>
      <c r="F2645" s="6">
        <v>4</v>
      </c>
      <c r="G2645" s="50"/>
      <c r="H2645" s="50"/>
      <c r="I2645" s="50"/>
      <c r="J2645" s="50"/>
      <c r="K2645" s="50"/>
      <c r="L2645" s="50"/>
      <c r="P2645" s="48"/>
      <c r="Q2645" s="49"/>
      <c r="R2645" s="49"/>
      <c r="S2645" s="49"/>
      <c r="T2645" s="49"/>
      <c r="U2645" s="48"/>
      <c r="V2645" s="48"/>
      <c r="W2645" s="48"/>
    </row>
    <row r="2646" spans="1:23">
      <c r="D2646" s="49">
        <f>F2646*2+4</f>
        <v>14</v>
      </c>
      <c r="E2646" s="49" t="s">
        <v>1</v>
      </c>
      <c r="F2646" s="50">
        <v>5</v>
      </c>
      <c r="G2646" s="50">
        <f>G2643</f>
        <v>4396</v>
      </c>
      <c r="H2646" s="50">
        <f>H2643</f>
        <v>2900</v>
      </c>
      <c r="I2646" s="50">
        <f>G2646+I2642*T2643</f>
        <v>4756</v>
      </c>
      <c r="J2646" s="50">
        <f>H2646-J2642*T2644</f>
        <v>2250</v>
      </c>
      <c r="K2646" s="50">
        <f>G2646+I2642*U2643</f>
        <v>5332</v>
      </c>
      <c r="L2646" s="50">
        <f>H2646-J2642*U2644</f>
        <v>1284.2857142857144</v>
      </c>
      <c r="M2646" s="50">
        <f>G2646+I2642*V2643</f>
        <v>6268</v>
      </c>
      <c r="N2646" s="50">
        <f>H2646-J2642*V2644</f>
        <v>560</v>
      </c>
      <c r="O2646" s="50">
        <f>G2646+I2642*W2643</f>
        <v>7276</v>
      </c>
      <c r="P2646" s="49">
        <f>H2646-J2642*W2644</f>
        <v>560</v>
      </c>
      <c r="Q2646" s="49"/>
      <c r="R2646" s="49"/>
      <c r="S2646" s="49"/>
      <c r="T2646" s="49"/>
      <c r="U2646" s="48"/>
      <c r="V2646" s="49"/>
      <c r="W2646" s="49"/>
    </row>
    <row r="2647" spans="1:23">
      <c r="B2647" s="1"/>
      <c r="D2647" s="48">
        <v>4</v>
      </c>
      <c r="E2647" s="48" t="s">
        <v>15</v>
      </c>
      <c r="F2647" s="6">
        <v>1</v>
      </c>
      <c r="G2647" s="50"/>
      <c r="H2647" s="50"/>
      <c r="I2647" s="50"/>
      <c r="J2647" s="50"/>
      <c r="K2647" s="50"/>
      <c r="L2647" s="50"/>
      <c r="P2647" s="48"/>
      <c r="Q2647" s="49"/>
      <c r="R2647" s="49"/>
      <c r="S2647" s="49"/>
      <c r="T2647" s="49"/>
      <c r="U2647" s="48"/>
      <c r="V2647" s="48"/>
      <c r="W2647" s="48"/>
    </row>
    <row r="2648" spans="1:23">
      <c r="B2648" s="1"/>
      <c r="D2648" s="48">
        <v>4</v>
      </c>
      <c r="E2648" s="48" t="s">
        <v>15</v>
      </c>
      <c r="F2648" s="6">
        <v>2</v>
      </c>
      <c r="G2648" s="50"/>
      <c r="H2648" s="50"/>
      <c r="I2648" s="50"/>
      <c r="J2648" s="50"/>
      <c r="K2648" s="50"/>
      <c r="L2648" s="50"/>
      <c r="P2648" s="48"/>
      <c r="Q2648" s="49"/>
      <c r="R2648" s="49"/>
      <c r="S2648" s="49"/>
      <c r="T2648" s="49"/>
      <c r="U2648" s="48"/>
      <c r="V2648" s="48"/>
      <c r="W2648" s="48"/>
    </row>
    <row r="2649" spans="1:23">
      <c r="B2649" s="1"/>
      <c r="D2649" s="49">
        <v>7</v>
      </c>
      <c r="E2649" s="49" t="s">
        <v>0</v>
      </c>
      <c r="F2649" s="50">
        <f>J2646-50</f>
        <v>2200</v>
      </c>
      <c r="G2649" s="50">
        <f>I2646-50</f>
        <v>4706</v>
      </c>
      <c r="H2649" s="50">
        <f t="shared" ref="H2649:I2652" si="154">F2649+100</f>
        <v>2300</v>
      </c>
      <c r="I2649" s="50">
        <f t="shared" si="154"/>
        <v>4806</v>
      </c>
      <c r="J2649" s="50"/>
      <c r="K2649" s="50"/>
      <c r="L2649" s="50"/>
      <c r="M2649" s="50"/>
      <c r="N2649" s="50"/>
      <c r="O2649" s="50"/>
      <c r="P2649" s="49"/>
      <c r="Q2649" s="49"/>
      <c r="R2649" s="49"/>
      <c r="S2649" s="49"/>
      <c r="T2649" s="49"/>
      <c r="U2649" s="49"/>
      <c r="V2649" s="48"/>
      <c r="W2649" s="48"/>
    </row>
    <row r="2650" spans="1:23">
      <c r="B2650" s="1"/>
      <c r="D2650" s="49">
        <v>7</v>
      </c>
      <c r="E2650" s="49" t="s">
        <v>0</v>
      </c>
      <c r="F2650" s="50">
        <f>L2646-50</f>
        <v>1234.2857142857144</v>
      </c>
      <c r="G2650" s="50">
        <f>K2646-50</f>
        <v>5282</v>
      </c>
      <c r="H2650" s="50">
        <f t="shared" si="154"/>
        <v>1334.2857142857144</v>
      </c>
      <c r="I2650" s="50">
        <f t="shared" si="154"/>
        <v>5382</v>
      </c>
      <c r="J2650" s="50"/>
      <c r="K2650" s="50"/>
      <c r="L2650" s="50"/>
      <c r="M2650" s="50"/>
      <c r="N2650" s="50"/>
      <c r="O2650" s="50"/>
      <c r="P2650" s="49"/>
      <c r="Q2650" s="49"/>
      <c r="R2650" s="49"/>
      <c r="S2650" s="49"/>
      <c r="T2650" s="49"/>
      <c r="U2650" s="49"/>
      <c r="V2650" s="48"/>
      <c r="W2650" s="48"/>
    </row>
    <row r="2651" spans="1:23">
      <c r="A2651" s="1"/>
      <c r="B2651" s="1"/>
      <c r="D2651" s="49">
        <v>7</v>
      </c>
      <c r="E2651" s="49" t="s">
        <v>0</v>
      </c>
      <c r="F2651" s="50">
        <f>N2646-50</f>
        <v>510</v>
      </c>
      <c r="G2651" s="50">
        <f>M2646-50</f>
        <v>6218</v>
      </c>
      <c r="H2651" s="50">
        <f t="shared" si="154"/>
        <v>610</v>
      </c>
      <c r="I2651" s="50">
        <f t="shared" si="154"/>
        <v>6318</v>
      </c>
      <c r="K2651" s="50"/>
      <c r="L2651" s="50"/>
      <c r="M2651" s="50"/>
      <c r="N2651" s="50"/>
      <c r="O2651" s="50"/>
      <c r="P2651" s="49"/>
      <c r="Q2651" s="49"/>
      <c r="R2651" s="49"/>
      <c r="S2651" s="49"/>
      <c r="T2651" s="49"/>
      <c r="U2651" s="49"/>
      <c r="V2651" s="49"/>
      <c r="W2651" s="49"/>
    </row>
    <row r="2652" spans="1:23">
      <c r="B2652" s="1"/>
      <c r="D2652" s="49">
        <v>7</v>
      </c>
      <c r="E2652" s="49" t="s">
        <v>0</v>
      </c>
      <c r="F2652" s="50">
        <f>P2646-50</f>
        <v>510</v>
      </c>
      <c r="G2652" s="50">
        <f>O2646-50</f>
        <v>7226</v>
      </c>
      <c r="H2652" s="50">
        <f t="shared" si="154"/>
        <v>610</v>
      </c>
      <c r="I2652" s="50">
        <f t="shared" si="154"/>
        <v>7326</v>
      </c>
      <c r="J2652" s="50"/>
      <c r="K2652" s="50"/>
      <c r="L2652" s="50"/>
      <c r="M2652" s="50"/>
      <c r="N2652" s="50"/>
      <c r="O2652" s="50"/>
      <c r="P2652" s="49"/>
      <c r="Q2652" s="49"/>
      <c r="R2652" s="49"/>
      <c r="S2652" s="49"/>
      <c r="T2652" s="49"/>
      <c r="U2652" s="49"/>
      <c r="V2652" s="48"/>
      <c r="W2652" s="48"/>
    </row>
    <row r="2653" spans="1:23">
      <c r="B2653" s="1"/>
      <c r="D2653" s="49">
        <f>ROUNDUP(6+F2653/2,0)</f>
        <v>7</v>
      </c>
      <c r="E2653" s="49" t="s">
        <v>6</v>
      </c>
      <c r="F2653" s="50">
        <f>LEN(G2653)</f>
        <v>2</v>
      </c>
      <c r="G2653" s="50" t="s">
        <v>130</v>
      </c>
      <c r="H2653" s="50">
        <f t="shared" ref="H2653:I2655" si="155">H2649</f>
        <v>2300</v>
      </c>
      <c r="I2653" s="50">
        <f t="shared" si="155"/>
        <v>4806</v>
      </c>
      <c r="J2653" s="50"/>
      <c r="K2653" s="50"/>
      <c r="L2653" s="50"/>
      <c r="P2653" s="48"/>
      <c r="Q2653" s="49"/>
      <c r="R2653" s="49"/>
      <c r="S2653" s="48"/>
      <c r="T2653" s="49"/>
      <c r="U2653" s="49"/>
      <c r="V2653" s="48"/>
      <c r="W2653" s="48"/>
    </row>
    <row r="2654" spans="1:23">
      <c r="A2654" s="2"/>
      <c r="B2654" s="3"/>
      <c r="C2654" s="2"/>
      <c r="D2654" s="49">
        <f>ROUNDUP(6+F2654/2,0)</f>
        <v>7</v>
      </c>
      <c r="E2654" s="49" t="s">
        <v>6</v>
      </c>
      <c r="F2654" s="50">
        <f>LEN(G2654)</f>
        <v>2</v>
      </c>
      <c r="G2654" s="50" t="s">
        <v>285</v>
      </c>
      <c r="H2654" s="50">
        <f t="shared" si="155"/>
        <v>1334.2857142857144</v>
      </c>
      <c r="I2654" s="50">
        <f t="shared" si="155"/>
        <v>5382</v>
      </c>
      <c r="J2654" s="50"/>
      <c r="K2654" s="50"/>
      <c r="L2654" s="50"/>
      <c r="P2654" s="48"/>
      <c r="Q2654" s="49"/>
      <c r="R2654" s="49"/>
      <c r="S2654" s="48"/>
      <c r="T2654" s="49"/>
      <c r="U2654" s="49"/>
      <c r="V2654" s="48"/>
      <c r="W2654" s="48"/>
    </row>
    <row r="2655" spans="1:23">
      <c r="A2655" s="2"/>
      <c r="B2655" s="3"/>
      <c r="C2655" s="2"/>
      <c r="D2655" s="49">
        <f>ROUNDUP(6+F2655/2,0)</f>
        <v>7</v>
      </c>
      <c r="E2655" s="49" t="s">
        <v>6</v>
      </c>
      <c r="F2655" s="50">
        <f>LEN(G2655)</f>
        <v>2</v>
      </c>
      <c r="G2655" s="50" t="s">
        <v>131</v>
      </c>
      <c r="H2655" s="50">
        <f t="shared" si="155"/>
        <v>610</v>
      </c>
      <c r="I2655" s="50">
        <f t="shared" si="155"/>
        <v>6318</v>
      </c>
      <c r="J2655" s="50"/>
      <c r="K2655" s="50"/>
      <c r="L2655" s="50"/>
      <c r="M2655" s="50"/>
      <c r="N2655" s="50"/>
      <c r="O2655" s="50"/>
      <c r="P2655" s="49"/>
      <c r="Q2655" s="49"/>
      <c r="R2655" s="49"/>
      <c r="S2655" s="49"/>
      <c r="T2655" s="49"/>
      <c r="U2655" s="49"/>
      <c r="V2655" s="48"/>
      <c r="W2655" s="48"/>
    </row>
    <row r="2656" spans="1:23">
      <c r="A2656" s="2"/>
      <c r="B2656" s="3"/>
      <c r="C2656" s="2"/>
      <c r="D2656" s="48"/>
      <c r="E2656" s="1" t="s">
        <v>448</v>
      </c>
      <c r="G2656" s="50"/>
      <c r="I2656" s="6">
        <v>3</v>
      </c>
      <c r="J2656" s="6">
        <v>13</v>
      </c>
      <c r="P2656" s="48"/>
      <c r="Q2656" s="49"/>
      <c r="R2656" s="49"/>
      <c r="S2656" s="48"/>
      <c r="T2656" s="48"/>
      <c r="U2656" s="48"/>
      <c r="V2656" s="49"/>
      <c r="W2656" s="49"/>
    </row>
    <row r="2657" spans="1:23">
      <c r="A2657" s="2"/>
      <c r="B2657" s="3"/>
      <c r="C2657" s="2"/>
      <c r="D2657" s="48"/>
      <c r="E2657" s="48" t="s">
        <v>113</v>
      </c>
      <c r="F2657" s="6">
        <v>200</v>
      </c>
      <c r="G2657" s="50">
        <f>G2643+4096-256</f>
        <v>8236</v>
      </c>
      <c r="H2657" s="50">
        <f>H2643</f>
        <v>2900</v>
      </c>
      <c r="I2657" s="50">
        <f>G2657+W2657*I2656</f>
        <v>11116</v>
      </c>
      <c r="J2657" s="50">
        <f>H2657-W2658*J2656</f>
        <v>560</v>
      </c>
      <c r="K2657" s="50" t="s">
        <v>22</v>
      </c>
      <c r="L2657" s="49"/>
      <c r="M2657" s="49"/>
      <c r="N2657" s="49">
        <f>COUNT(S2657:CD2657)</f>
        <v>5</v>
      </c>
      <c r="O2657" s="50"/>
      <c r="P2657" s="49"/>
      <c r="Q2657" s="49">
        <v>3</v>
      </c>
      <c r="R2657" s="49"/>
      <c r="S2657" s="49">
        <v>0</v>
      </c>
      <c r="T2657" s="49">
        <v>120</v>
      </c>
      <c r="U2657" s="49">
        <v>287.99999999999994</v>
      </c>
      <c r="V2657" s="49">
        <v>744</v>
      </c>
      <c r="W2657" s="49">
        <v>960</v>
      </c>
    </row>
    <row r="2658" spans="1:23">
      <c r="A2658" s="2"/>
      <c r="B2658" s="3"/>
      <c r="C2658" s="2"/>
      <c r="D2658" s="48">
        <v>8</v>
      </c>
      <c r="E2658" s="48" t="s">
        <v>14</v>
      </c>
      <c r="F2658" s="6">
        <v>0</v>
      </c>
      <c r="G2658" s="6">
        <v>40</v>
      </c>
      <c r="H2658" s="6">
        <v>0</v>
      </c>
      <c r="I2658" s="6">
        <v>0</v>
      </c>
      <c r="J2658" s="6">
        <v>0</v>
      </c>
      <c r="K2658" s="36" t="s">
        <v>307</v>
      </c>
      <c r="L2658" s="50"/>
      <c r="P2658" s="48"/>
      <c r="Q2658" s="50">
        <v>2</v>
      </c>
      <c r="R2658" s="49"/>
      <c r="S2658" s="49">
        <v>0</v>
      </c>
      <c r="T2658" s="49">
        <v>24.999999999999996</v>
      </c>
      <c r="U2658" s="49">
        <v>132.49999999999997</v>
      </c>
      <c r="V2658" s="49">
        <v>180</v>
      </c>
      <c r="W2658" s="49">
        <v>180</v>
      </c>
    </row>
    <row r="2659" spans="1:23">
      <c r="A2659" s="2"/>
      <c r="B2659" s="3"/>
      <c r="C2659" s="2"/>
      <c r="D2659" s="48">
        <v>4</v>
      </c>
      <c r="E2659" s="48" t="s">
        <v>15</v>
      </c>
      <c r="F2659" s="6">
        <v>4</v>
      </c>
      <c r="G2659" s="50"/>
      <c r="H2659" s="50"/>
      <c r="I2659" s="50"/>
      <c r="J2659" s="50"/>
      <c r="K2659" s="50"/>
      <c r="L2659" s="50"/>
      <c r="P2659" s="48"/>
      <c r="Q2659" s="49"/>
      <c r="R2659" s="49"/>
      <c r="S2659" s="48"/>
      <c r="T2659" s="48"/>
      <c r="U2659" s="48"/>
      <c r="V2659" s="49"/>
      <c r="W2659" s="49"/>
    </row>
    <row r="2660" spans="1:23">
      <c r="B2660" s="1"/>
      <c r="D2660" s="49">
        <f>F2660*2+4</f>
        <v>14</v>
      </c>
      <c r="E2660" s="49" t="s">
        <v>1</v>
      </c>
      <c r="F2660" s="50">
        <v>5</v>
      </c>
      <c r="G2660" s="50">
        <f>G2657</f>
        <v>8236</v>
      </c>
      <c r="H2660" s="50">
        <f>H2657</f>
        <v>2900</v>
      </c>
      <c r="I2660" s="50">
        <f>G2660+I2656*T2657</f>
        <v>8596</v>
      </c>
      <c r="J2660" s="50">
        <f>H2660-J2656*T2658</f>
        <v>2575</v>
      </c>
      <c r="K2660" s="50">
        <f>G2660+I2656*U2657</f>
        <v>9100</v>
      </c>
      <c r="L2660" s="50">
        <f>H2660-J2656*U2658</f>
        <v>1177.5000000000005</v>
      </c>
      <c r="M2660" s="50">
        <f>G2660+I2656*V2657</f>
        <v>10468</v>
      </c>
      <c r="N2660" s="50">
        <f>H2660-J2656*V2658</f>
        <v>560</v>
      </c>
      <c r="O2660" s="50">
        <f>G2660+I2656*W2657</f>
        <v>11116</v>
      </c>
      <c r="P2660" s="49">
        <f>H2660-J2656*W2658</f>
        <v>560</v>
      </c>
      <c r="Q2660" s="49"/>
      <c r="R2660" s="49"/>
      <c r="S2660" s="48"/>
      <c r="T2660" s="49"/>
      <c r="U2660" s="49"/>
      <c r="V2660" s="49"/>
      <c r="W2660" s="49"/>
    </row>
    <row r="2661" spans="1:23">
      <c r="B2661" s="1"/>
      <c r="D2661" s="48">
        <v>4</v>
      </c>
      <c r="E2661" s="48" t="s">
        <v>15</v>
      </c>
      <c r="F2661" s="6">
        <v>1</v>
      </c>
      <c r="G2661" s="50"/>
      <c r="H2661" s="50"/>
      <c r="I2661" s="50"/>
      <c r="J2661" s="50"/>
      <c r="K2661" s="50"/>
      <c r="L2661" s="50"/>
      <c r="P2661" s="48"/>
      <c r="Q2661" s="49"/>
      <c r="R2661" s="49"/>
      <c r="S2661" s="48"/>
      <c r="T2661" s="48"/>
      <c r="U2661" s="48"/>
      <c r="V2661" s="49"/>
      <c r="W2661" s="49"/>
    </row>
    <row r="2662" spans="1:23">
      <c r="B2662" s="1"/>
      <c r="D2662" s="48">
        <v>4</v>
      </c>
      <c r="E2662" s="48" t="s">
        <v>15</v>
      </c>
      <c r="F2662" s="6">
        <v>2</v>
      </c>
      <c r="G2662" s="50"/>
      <c r="H2662" s="50"/>
      <c r="I2662" s="50"/>
      <c r="J2662" s="50"/>
      <c r="K2662" s="50"/>
      <c r="L2662" s="50"/>
      <c r="P2662" s="48"/>
      <c r="Q2662" s="49"/>
      <c r="R2662" s="49"/>
      <c r="S2662" s="48"/>
      <c r="T2662" s="48"/>
      <c r="U2662" s="48"/>
      <c r="V2662" s="49"/>
      <c r="W2662" s="49"/>
    </row>
    <row r="2663" spans="1:23">
      <c r="B2663" s="1"/>
      <c r="D2663" s="49">
        <v>7</v>
      </c>
      <c r="E2663" s="49" t="s">
        <v>0</v>
      </c>
      <c r="F2663" s="50">
        <f>J2660-50</f>
        <v>2525</v>
      </c>
      <c r="G2663" s="50">
        <f>I2660-50</f>
        <v>8546</v>
      </c>
      <c r="H2663" s="50">
        <f t="shared" ref="H2663:I2666" si="156">F2663+100</f>
        <v>2625</v>
      </c>
      <c r="I2663" s="50">
        <f t="shared" si="156"/>
        <v>8646</v>
      </c>
      <c r="J2663" s="50"/>
      <c r="K2663" s="50"/>
      <c r="L2663" s="50"/>
      <c r="M2663" s="50"/>
      <c r="N2663" s="50"/>
      <c r="O2663" s="50"/>
      <c r="P2663" s="49"/>
      <c r="Q2663" s="49"/>
      <c r="R2663" s="49"/>
      <c r="S2663" s="49"/>
      <c r="T2663" s="48"/>
      <c r="U2663" s="48"/>
      <c r="V2663" s="49"/>
      <c r="W2663" s="49"/>
    </row>
    <row r="2664" spans="1:23">
      <c r="A2664" s="1"/>
      <c r="B2664" s="1"/>
      <c r="D2664" s="49">
        <v>7</v>
      </c>
      <c r="E2664" s="49" t="s">
        <v>0</v>
      </c>
      <c r="F2664" s="50">
        <f>L2660-50</f>
        <v>1127.5000000000005</v>
      </c>
      <c r="G2664" s="50">
        <f>K2660-50</f>
        <v>9050</v>
      </c>
      <c r="H2664" s="50">
        <f t="shared" si="156"/>
        <v>1227.5000000000005</v>
      </c>
      <c r="I2664" s="50">
        <f t="shared" si="156"/>
        <v>9150</v>
      </c>
      <c r="J2664" s="50"/>
      <c r="K2664" s="50"/>
      <c r="L2664" s="50"/>
      <c r="M2664" s="50"/>
      <c r="N2664" s="50"/>
      <c r="O2664" s="50"/>
      <c r="P2664" s="49"/>
      <c r="Q2664" s="49"/>
      <c r="R2664" s="49"/>
      <c r="S2664" s="49"/>
      <c r="T2664" s="48"/>
      <c r="U2664" s="48"/>
      <c r="V2664" s="49"/>
      <c r="W2664" s="49"/>
    </row>
    <row r="2665" spans="1:23">
      <c r="B2665" s="1"/>
      <c r="D2665" s="49">
        <v>7</v>
      </c>
      <c r="E2665" s="49" t="s">
        <v>0</v>
      </c>
      <c r="F2665" s="50">
        <f>N2660-50</f>
        <v>510</v>
      </c>
      <c r="G2665" s="50">
        <f>M2660-50</f>
        <v>10418</v>
      </c>
      <c r="H2665" s="50">
        <f t="shared" si="156"/>
        <v>610</v>
      </c>
      <c r="I2665" s="50">
        <f t="shared" si="156"/>
        <v>10518</v>
      </c>
      <c r="K2665" s="50"/>
      <c r="L2665" s="50"/>
      <c r="M2665" s="50"/>
      <c r="N2665" s="50"/>
      <c r="O2665" s="50"/>
      <c r="P2665" s="49"/>
      <c r="Q2665" s="49"/>
      <c r="R2665" s="49"/>
      <c r="S2665" s="49"/>
      <c r="T2665" s="49"/>
      <c r="U2665" s="49"/>
      <c r="V2665" s="49"/>
      <c r="W2665" s="49"/>
    </row>
    <row r="2666" spans="1:23">
      <c r="B2666" s="1"/>
      <c r="D2666" s="49">
        <v>7</v>
      </c>
      <c r="E2666" s="49" t="s">
        <v>0</v>
      </c>
      <c r="F2666" s="50">
        <f>P2660-50</f>
        <v>510</v>
      </c>
      <c r="G2666" s="50">
        <f>O2660-50</f>
        <v>11066</v>
      </c>
      <c r="H2666" s="50">
        <f t="shared" si="156"/>
        <v>610</v>
      </c>
      <c r="I2666" s="50">
        <f t="shared" si="156"/>
        <v>11166</v>
      </c>
      <c r="J2666" s="50"/>
      <c r="K2666" s="50"/>
      <c r="L2666" s="50"/>
      <c r="M2666" s="50"/>
      <c r="N2666" s="50"/>
      <c r="O2666" s="50"/>
      <c r="P2666" s="49"/>
      <c r="Q2666" s="49"/>
      <c r="R2666" s="49"/>
      <c r="S2666" s="49"/>
      <c r="T2666" s="48"/>
      <c r="U2666" s="48"/>
      <c r="V2666" s="49"/>
      <c r="W2666" s="49"/>
    </row>
    <row r="2667" spans="1:23">
      <c r="A2667" s="2"/>
      <c r="B2667" s="3"/>
      <c r="C2667" s="2"/>
      <c r="D2667" s="49">
        <f>ROUNDUP(6+F2667/2,0)</f>
        <v>7</v>
      </c>
      <c r="E2667" s="49" t="s">
        <v>6</v>
      </c>
      <c r="F2667" s="50">
        <f>LEN(G2667)</f>
        <v>2</v>
      </c>
      <c r="G2667" s="50" t="s">
        <v>130</v>
      </c>
      <c r="H2667" s="50">
        <f t="shared" ref="H2667:I2669" si="157">H2663</f>
        <v>2625</v>
      </c>
      <c r="I2667" s="50">
        <f t="shared" si="157"/>
        <v>8646</v>
      </c>
      <c r="J2667" s="50"/>
      <c r="K2667" s="50"/>
      <c r="L2667" s="50"/>
      <c r="P2667" s="48"/>
      <c r="Q2667" s="48"/>
      <c r="R2667" s="49"/>
      <c r="S2667" s="49"/>
      <c r="T2667" s="48"/>
      <c r="U2667" s="48"/>
      <c r="V2667" s="49"/>
      <c r="W2667" s="49"/>
    </row>
    <row r="2668" spans="1:23">
      <c r="D2668" s="49">
        <f>ROUNDUP(6+F2668/2,0)</f>
        <v>7</v>
      </c>
      <c r="E2668" s="49" t="s">
        <v>6</v>
      </c>
      <c r="F2668" s="50">
        <f>LEN(G2668)</f>
        <v>2</v>
      </c>
      <c r="G2668" s="50" t="s">
        <v>285</v>
      </c>
      <c r="H2668" s="50">
        <f t="shared" si="157"/>
        <v>1227.5000000000005</v>
      </c>
      <c r="I2668" s="50">
        <f t="shared" si="157"/>
        <v>9150</v>
      </c>
      <c r="J2668" s="50"/>
      <c r="K2668" s="50"/>
      <c r="L2668" s="50"/>
      <c r="P2668" s="48"/>
      <c r="Q2668" s="48"/>
      <c r="R2668" s="49"/>
      <c r="S2668" s="49"/>
      <c r="T2668" s="48"/>
      <c r="U2668" s="48"/>
      <c r="V2668" s="49"/>
      <c r="W2668" s="49"/>
    </row>
    <row r="2669" spans="1:23">
      <c r="D2669" s="49">
        <f>ROUNDUP(6+F2669/2,0)</f>
        <v>7</v>
      </c>
      <c r="E2669" s="49" t="s">
        <v>6</v>
      </c>
      <c r="F2669" s="50">
        <f>LEN(G2669)</f>
        <v>2</v>
      </c>
      <c r="G2669" s="50" t="s">
        <v>131</v>
      </c>
      <c r="H2669" s="50">
        <f t="shared" si="157"/>
        <v>610</v>
      </c>
      <c r="I2669" s="50">
        <f t="shared" si="157"/>
        <v>10518</v>
      </c>
      <c r="J2669" s="50"/>
      <c r="K2669" s="50"/>
      <c r="L2669" s="50"/>
      <c r="M2669" s="50"/>
      <c r="N2669" s="50"/>
      <c r="O2669" s="50"/>
      <c r="P2669" s="49"/>
      <c r="Q2669" s="49"/>
      <c r="R2669" s="49"/>
      <c r="S2669" s="49"/>
      <c r="T2669" s="48"/>
      <c r="U2669" s="48"/>
      <c r="V2669" s="49"/>
      <c r="W2669" s="49"/>
    </row>
    <row r="2671" spans="1:23">
      <c r="A2671" s="48" t="s">
        <v>383</v>
      </c>
      <c r="B2671" s="1" t="s">
        <v>808</v>
      </c>
      <c r="D2671" t="s">
        <v>449</v>
      </c>
      <c r="E2671">
        <v>52695</v>
      </c>
      <c r="F2671" s="6">
        <v>39622</v>
      </c>
      <c r="G2671" s="24">
        <v>0</v>
      </c>
      <c r="H2671" s="6">
        <v>0</v>
      </c>
      <c r="I2671" s="6">
        <v>0</v>
      </c>
      <c r="J2671" s="6">
        <v>12000</v>
      </c>
      <c r="K2671" s="6">
        <v>6000</v>
      </c>
      <c r="L2671" s="6">
        <v>1920</v>
      </c>
      <c r="M2671" s="6">
        <v>0</v>
      </c>
      <c r="N2671" s="6">
        <v>0</v>
      </c>
      <c r="O2671" s="6" t="e">
        <f ca="1">checksummeint(G2671,H2671,I2671,J2671,K2671,L2671,M2671,N2671)</f>
        <v>#NAME?</v>
      </c>
    </row>
    <row r="2672" spans="1:23">
      <c r="D2672">
        <v>28</v>
      </c>
      <c r="E2672" t="s">
        <v>12</v>
      </c>
      <c r="F2672" s="6">
        <v>360</v>
      </c>
      <c r="G2672" s="24">
        <v>0</v>
      </c>
      <c r="H2672" s="6">
        <v>0</v>
      </c>
      <c r="I2672" s="6">
        <v>0</v>
      </c>
      <c r="J2672" s="6">
        <v>400</v>
      </c>
      <c r="K2672" s="6">
        <v>0</v>
      </c>
      <c r="L2672" s="6">
        <v>0</v>
      </c>
      <c r="M2672" s="6">
        <v>0</v>
      </c>
      <c r="N2672" s="6">
        <v>0</v>
      </c>
      <c r="O2672" s="6" t="s">
        <v>19</v>
      </c>
    </row>
    <row r="2673" spans="4:26">
      <c r="D2673">
        <v>5</v>
      </c>
      <c r="E2673" t="s">
        <v>59</v>
      </c>
      <c r="F2673" s="6">
        <v>1</v>
      </c>
      <c r="G2673" s="24">
        <v>0</v>
      </c>
    </row>
    <row r="2674" spans="4:26">
      <c r="D2674">
        <v>8</v>
      </c>
      <c r="E2674" t="s">
        <v>14</v>
      </c>
      <c r="F2674" s="6">
        <v>0</v>
      </c>
      <c r="G2674" s="24">
        <v>16</v>
      </c>
      <c r="H2674" s="6">
        <v>0</v>
      </c>
      <c r="I2674" s="6">
        <v>0</v>
      </c>
      <c r="J2674" s="6">
        <v>0</v>
      </c>
    </row>
    <row r="2675" spans="4:26">
      <c r="D2675">
        <v>7</v>
      </c>
      <c r="E2675" t="s">
        <v>11</v>
      </c>
      <c r="F2675" s="6">
        <v>0</v>
      </c>
      <c r="G2675" s="24">
        <v>-64</v>
      </c>
      <c r="H2675" s="6">
        <v>192</v>
      </c>
      <c r="I2675" s="6">
        <v>0</v>
      </c>
    </row>
    <row r="2676" spans="4:26">
      <c r="D2676">
        <v>7</v>
      </c>
      <c r="E2676" t="s">
        <v>11</v>
      </c>
      <c r="F2676" s="6">
        <v>0</v>
      </c>
      <c r="G2676" s="24">
        <v>0</v>
      </c>
      <c r="H2676" s="6">
        <v>0</v>
      </c>
      <c r="I2676" s="6">
        <v>0</v>
      </c>
    </row>
    <row r="2677" spans="4:26">
      <c r="D2677">
        <v>7</v>
      </c>
      <c r="E2677" t="s">
        <v>11</v>
      </c>
      <c r="F2677" s="6">
        <v>0</v>
      </c>
      <c r="G2677" s="24">
        <f>257*128</f>
        <v>32896</v>
      </c>
      <c r="H2677" s="6">
        <v>255</v>
      </c>
      <c r="I2677" s="6">
        <v>0</v>
      </c>
    </row>
    <row r="2678" spans="4:26">
      <c r="D2678">
        <v>28</v>
      </c>
      <c r="E2678" t="s">
        <v>12</v>
      </c>
      <c r="F2678" s="6">
        <v>360</v>
      </c>
      <c r="G2678" s="24">
        <v>0</v>
      </c>
      <c r="H2678" s="6">
        <v>900</v>
      </c>
      <c r="I2678" s="6">
        <v>0</v>
      </c>
      <c r="J2678" s="6">
        <v>400</v>
      </c>
      <c r="K2678" s="6">
        <v>0</v>
      </c>
      <c r="L2678" s="6">
        <v>0</v>
      </c>
      <c r="M2678" s="6">
        <v>0</v>
      </c>
      <c r="N2678" s="6">
        <v>0</v>
      </c>
      <c r="O2678" s="6" t="s">
        <v>19</v>
      </c>
    </row>
    <row r="2679" spans="4:26">
      <c r="D2679">
        <v>4</v>
      </c>
      <c r="E2679" t="s">
        <v>15</v>
      </c>
      <c r="F2679" s="6">
        <v>0</v>
      </c>
      <c r="G2679" s="24"/>
    </row>
    <row r="2680" spans="4:26">
      <c r="D2680">
        <v>4</v>
      </c>
      <c r="E2680" t="s">
        <v>15</v>
      </c>
      <c r="F2680" s="6">
        <v>1</v>
      </c>
      <c r="G2680" s="24"/>
    </row>
    <row r="2681" spans="4:26">
      <c r="D2681">
        <v>4</v>
      </c>
      <c r="E2681" t="s">
        <v>15</v>
      </c>
      <c r="F2681" s="6">
        <v>3</v>
      </c>
      <c r="G2681" s="24"/>
    </row>
    <row r="2682" spans="4:26">
      <c r="D2682">
        <v>8</v>
      </c>
      <c r="E2682" t="s">
        <v>1</v>
      </c>
      <c r="F2682" s="6">
        <v>2</v>
      </c>
      <c r="G2682" s="24">
        <v>700</v>
      </c>
      <c r="H2682" s="6">
        <v>5000</v>
      </c>
      <c r="I2682" s="6">
        <v>11400</v>
      </c>
      <c r="J2682" s="6">
        <v>5000</v>
      </c>
    </row>
    <row r="2683" spans="4:26">
      <c r="D2683">
        <v>10</v>
      </c>
      <c r="E2683" t="s">
        <v>4</v>
      </c>
      <c r="F2683" s="6">
        <v>3</v>
      </c>
      <c r="G2683" s="24">
        <v>11400</v>
      </c>
      <c r="H2683" s="6">
        <v>5000</v>
      </c>
      <c r="I2683" s="6">
        <v>11200</v>
      </c>
      <c r="J2683" s="6">
        <v>5100</v>
      </c>
      <c r="K2683" s="6">
        <v>11200</v>
      </c>
      <c r="L2683" s="6">
        <v>4900</v>
      </c>
    </row>
    <row r="2684" spans="4:26">
      <c r="D2684">
        <v>8</v>
      </c>
      <c r="E2684" t="s">
        <v>1</v>
      </c>
      <c r="F2684" s="6">
        <v>2</v>
      </c>
      <c r="G2684" s="24">
        <v>800</v>
      </c>
      <c r="H2684" s="6">
        <v>5100</v>
      </c>
      <c r="I2684" s="6">
        <v>800</v>
      </c>
      <c r="J2684" s="6">
        <v>50</v>
      </c>
    </row>
    <row r="2685" spans="4:26">
      <c r="D2685">
        <v>10</v>
      </c>
      <c r="E2685" t="s">
        <v>4</v>
      </c>
      <c r="F2685" s="6">
        <v>3</v>
      </c>
      <c r="G2685" s="24">
        <v>800</v>
      </c>
      <c r="H2685" s="6">
        <v>50</v>
      </c>
      <c r="I2685" s="6">
        <v>900</v>
      </c>
      <c r="J2685" s="6">
        <v>250</v>
      </c>
      <c r="K2685" s="6">
        <v>700</v>
      </c>
      <c r="L2685" s="6">
        <v>250</v>
      </c>
    </row>
    <row r="2686" spans="4:26">
      <c r="D2686">
        <v>4</v>
      </c>
      <c r="E2686" t="s">
        <v>15</v>
      </c>
      <c r="F2686" s="6">
        <v>2</v>
      </c>
      <c r="G2686" s="24"/>
    </row>
    <row r="2687" spans="4:26">
      <c r="D2687">
        <v>24</v>
      </c>
      <c r="E2687" t="s">
        <v>4</v>
      </c>
      <c r="F2687" s="6">
        <v>10</v>
      </c>
      <c r="G2687" s="24">
        <v>800</v>
      </c>
      <c r="H2687" s="6">
        <v>5000</v>
      </c>
      <c r="I2687" s="6">
        <v>3470</v>
      </c>
      <c r="J2687" s="6">
        <v>2577</v>
      </c>
      <c r="K2687" s="6">
        <v>5400</v>
      </c>
      <c r="L2687" s="6">
        <v>2577</v>
      </c>
      <c r="M2687" s="6">
        <v>6475</v>
      </c>
      <c r="N2687" s="6">
        <v>2146</v>
      </c>
      <c r="O2687" s="6">
        <v>7413</v>
      </c>
      <c r="P2687">
        <v>2146</v>
      </c>
      <c r="Q2687">
        <v>7892</v>
      </c>
      <c r="R2687">
        <v>1668</v>
      </c>
      <c r="S2687">
        <v>8447</v>
      </c>
      <c r="T2687">
        <v>1002</v>
      </c>
      <c r="U2687">
        <v>9220</v>
      </c>
      <c r="V2687">
        <v>450</v>
      </c>
      <c r="W2687">
        <v>11000</v>
      </c>
      <c r="X2687">
        <v>450</v>
      </c>
      <c r="Y2687">
        <v>11000</v>
      </c>
      <c r="Z2687">
        <v>5000</v>
      </c>
    </row>
    <row r="2688" spans="4:26">
      <c r="D2688">
        <v>4</v>
      </c>
      <c r="E2688" t="s">
        <v>15</v>
      </c>
      <c r="F2688" s="6">
        <v>4</v>
      </c>
      <c r="G2688" s="24"/>
    </row>
    <row r="2689" spans="4:15">
      <c r="D2689">
        <v>7</v>
      </c>
      <c r="E2689" t="s">
        <v>5</v>
      </c>
      <c r="F2689" s="6">
        <f>L2687</f>
        <v>2577</v>
      </c>
      <c r="G2689" s="24">
        <f>K2687</f>
        <v>5400</v>
      </c>
      <c r="H2689" s="6">
        <f>H2687</f>
        <v>5000</v>
      </c>
      <c r="I2689" s="6">
        <f>O2687</f>
        <v>7413</v>
      </c>
    </row>
    <row r="2690" spans="4:15">
      <c r="D2690">
        <v>7</v>
      </c>
      <c r="E2690" t="s">
        <v>5</v>
      </c>
      <c r="F2690" s="6">
        <f>F2689</f>
        <v>2577</v>
      </c>
      <c r="G2690" s="24">
        <f>I2689</f>
        <v>7413</v>
      </c>
      <c r="H2690" s="6">
        <f>H2689</f>
        <v>5000</v>
      </c>
      <c r="I2690" s="6">
        <f>Y2687</f>
        <v>11000</v>
      </c>
    </row>
    <row r="2691" spans="4:15">
      <c r="D2691">
        <v>7</v>
      </c>
      <c r="E2691" t="s">
        <v>5</v>
      </c>
      <c r="F2691" s="6">
        <f>N2687</f>
        <v>2146</v>
      </c>
      <c r="G2691" s="24">
        <f>G2690</f>
        <v>7413</v>
      </c>
      <c r="H2691" s="6">
        <f>F2690</f>
        <v>2577</v>
      </c>
      <c r="I2691" s="6">
        <f>I2690</f>
        <v>11000</v>
      </c>
    </row>
    <row r="2692" spans="4:15">
      <c r="D2692">
        <v>4</v>
      </c>
      <c r="E2692" t="s">
        <v>15</v>
      </c>
      <c r="F2692" s="6">
        <v>3</v>
      </c>
      <c r="G2692" s="24"/>
    </row>
    <row r="2693" spans="4:15">
      <c r="D2693" s="2">
        <v>64</v>
      </c>
      <c r="E2693" s="2" t="s">
        <v>114</v>
      </c>
      <c r="F2693" s="24">
        <v>200</v>
      </c>
      <c r="G2693" s="24">
        <f>G2687</f>
        <v>800</v>
      </c>
      <c r="H2693" s="24">
        <v>5800</v>
      </c>
      <c r="I2693" s="24">
        <f>I2691</f>
        <v>11000</v>
      </c>
      <c r="J2693" s="24">
        <f>H2693</f>
        <v>5800</v>
      </c>
      <c r="K2693" s="24">
        <f>G2689</f>
        <v>5400</v>
      </c>
      <c r="L2693" s="24">
        <f>J2693</f>
        <v>5800</v>
      </c>
    </row>
    <row r="2694" spans="4:15">
      <c r="D2694" s="2">
        <v>12</v>
      </c>
      <c r="E2694" s="2" t="s">
        <v>4</v>
      </c>
      <c r="F2694" s="24">
        <v>4</v>
      </c>
      <c r="G2694" s="24">
        <v>7213</v>
      </c>
      <c r="H2694" s="24">
        <v>5899</v>
      </c>
      <c r="I2694" s="24">
        <v>7213</v>
      </c>
      <c r="J2694" s="6">
        <v>5700</v>
      </c>
      <c r="K2694" s="6">
        <v>7612</v>
      </c>
      <c r="L2694" s="6">
        <v>5899</v>
      </c>
      <c r="M2694" s="6">
        <v>7612</v>
      </c>
      <c r="N2694" s="6">
        <v>5700</v>
      </c>
    </row>
    <row r="2695" spans="4:15">
      <c r="D2695" s="2">
        <v>8</v>
      </c>
      <c r="E2695" s="2" t="s">
        <v>1</v>
      </c>
      <c r="F2695" s="24">
        <v>2</v>
      </c>
      <c r="G2695" s="24">
        <v>7413</v>
      </c>
      <c r="H2695" s="24">
        <v>6000</v>
      </c>
      <c r="I2695" s="24">
        <v>7413</v>
      </c>
      <c r="J2695" s="24">
        <v>5600</v>
      </c>
      <c r="K2695" s="24"/>
      <c r="L2695" s="24"/>
      <c r="M2695" s="24"/>
      <c r="N2695" s="24"/>
    </row>
    <row r="2696" spans="4:15">
      <c r="E2696" s="2" t="s">
        <v>515</v>
      </c>
      <c r="F2696" s="24" t="s">
        <v>591</v>
      </c>
      <c r="G2696" s="6">
        <v>3000</v>
      </c>
      <c r="H2696" s="6">
        <v>5450</v>
      </c>
      <c r="I2696" s="6">
        <v>6000</v>
      </c>
      <c r="J2696" s="6">
        <v>9000</v>
      </c>
      <c r="L2696" s="24"/>
      <c r="M2696" s="24"/>
      <c r="N2696" s="24"/>
    </row>
    <row r="2697" spans="4:15">
      <c r="D2697" s="2">
        <v>64</v>
      </c>
      <c r="E2697" s="2" t="s">
        <v>114</v>
      </c>
      <c r="F2697" s="24">
        <v>200</v>
      </c>
      <c r="G2697" s="24">
        <v>11800</v>
      </c>
      <c r="H2697" s="24">
        <f>H2687</f>
        <v>5000</v>
      </c>
      <c r="I2697" s="24">
        <f>G2697</f>
        <v>11800</v>
      </c>
      <c r="J2697" s="24">
        <f>X2687</f>
        <v>450</v>
      </c>
      <c r="K2697" s="24">
        <f>I2697</f>
        <v>11800</v>
      </c>
      <c r="L2697" s="24">
        <f>F2691</f>
        <v>2146</v>
      </c>
      <c r="M2697" s="24"/>
      <c r="N2697" s="24"/>
    </row>
    <row r="2698" spans="4:15">
      <c r="D2698" s="2">
        <v>12</v>
      </c>
      <c r="E2698" s="2" t="s">
        <v>4</v>
      </c>
      <c r="F2698" s="24">
        <v>4</v>
      </c>
      <c r="G2698" s="24">
        <v>11899</v>
      </c>
      <c r="H2698" s="24">
        <v>2776</v>
      </c>
      <c r="I2698" s="24">
        <v>11700</v>
      </c>
      <c r="J2698" s="24">
        <v>2776</v>
      </c>
      <c r="K2698" s="24">
        <v>11899</v>
      </c>
      <c r="L2698" s="24">
        <v>2377</v>
      </c>
      <c r="M2698" s="24">
        <v>11700</v>
      </c>
      <c r="N2698" s="24">
        <v>2377</v>
      </c>
    </row>
    <row r="2699" spans="4:15">
      <c r="D2699" s="2">
        <v>8</v>
      </c>
      <c r="E2699" s="2" t="s">
        <v>1</v>
      </c>
      <c r="F2699" s="24">
        <v>2</v>
      </c>
      <c r="G2699" s="24">
        <v>12000</v>
      </c>
      <c r="H2699" s="24">
        <v>2577</v>
      </c>
      <c r="I2699" s="24">
        <v>11600</v>
      </c>
      <c r="J2699" s="6">
        <v>2577</v>
      </c>
      <c r="K2699" s="24"/>
      <c r="L2699" s="24"/>
    </row>
    <row r="2700" spans="4:15">
      <c r="D2700">
        <f>ROUNDUP(6+F2700/2,0)</f>
        <v>7</v>
      </c>
      <c r="E2700" t="s">
        <v>6</v>
      </c>
      <c r="F2700" s="6">
        <f>LEN(G2700)</f>
        <v>1</v>
      </c>
      <c r="G2700" s="24" t="s">
        <v>22</v>
      </c>
      <c r="H2700" s="6">
        <v>5000</v>
      </c>
      <c r="I2700" s="6">
        <v>11500</v>
      </c>
    </row>
    <row r="2701" spans="4:15">
      <c r="D2701">
        <f>ROUNDUP(6+F2701/2,0)</f>
        <v>14</v>
      </c>
      <c r="E2701" t="s">
        <v>6</v>
      </c>
      <c r="F2701" s="6">
        <f t="shared" ref="F2701:F2706" si="158">LEN(G2701)</f>
        <v>15</v>
      </c>
      <c r="G2701" s="24" t="s">
        <v>309</v>
      </c>
      <c r="H2701" s="6">
        <v>50</v>
      </c>
      <c r="I2701" s="6">
        <v>1000</v>
      </c>
    </row>
    <row r="2702" spans="4:15">
      <c r="E2702" s="6" t="s">
        <v>515</v>
      </c>
      <c r="F2702" s="6" t="s">
        <v>597</v>
      </c>
      <c r="G2702" s="6">
        <v>733</v>
      </c>
      <c r="H2702" s="6">
        <v>5100</v>
      </c>
      <c r="I2702" s="6">
        <v>3337</v>
      </c>
      <c r="J2702" s="6">
        <v>5133</v>
      </c>
      <c r="K2702" s="6">
        <v>6208</v>
      </c>
      <c r="L2702" s="6">
        <v>7146</v>
      </c>
      <c r="M2702" s="6">
        <v>8114</v>
      </c>
      <c r="N2702" s="6">
        <v>9020</v>
      </c>
      <c r="O2702" s="24">
        <v>10800</v>
      </c>
    </row>
    <row r="2703" spans="4:15">
      <c r="D2703">
        <f>ROUNDUP(6+F2703/2,0)</f>
        <v>8</v>
      </c>
      <c r="E2703" t="s">
        <v>6</v>
      </c>
      <c r="F2703" s="6">
        <f t="shared" si="158"/>
        <v>4</v>
      </c>
      <c r="G2703" s="24" t="s">
        <v>263</v>
      </c>
      <c r="H2703" s="24">
        <v>4000</v>
      </c>
      <c r="I2703" s="24">
        <v>4000</v>
      </c>
    </row>
    <row r="2704" spans="4:15">
      <c r="D2704">
        <f>ROUNDUP(6+F2704/2,0)</f>
        <v>8</v>
      </c>
      <c r="E2704" t="s">
        <v>6</v>
      </c>
      <c r="F2704" s="6">
        <f t="shared" si="158"/>
        <v>4</v>
      </c>
      <c r="G2704" s="24" t="s">
        <v>264</v>
      </c>
      <c r="H2704" s="24">
        <v>2200</v>
      </c>
      <c r="I2704" s="24">
        <v>6400</v>
      </c>
    </row>
    <row r="2705" spans="4:14">
      <c r="E2705" s="6" t="s">
        <v>517</v>
      </c>
      <c r="F2705" s="6" t="s">
        <v>592</v>
      </c>
      <c r="G2705" s="24">
        <v>9500</v>
      </c>
      <c r="H2705" s="24">
        <v>1024</v>
      </c>
      <c r="I2705" s="24">
        <f>H2704</f>
        <v>2200</v>
      </c>
      <c r="J2705" s="24">
        <f>H2706</f>
        <v>4000</v>
      </c>
    </row>
    <row r="2706" spans="4:14">
      <c r="D2706">
        <f>ROUNDUP(6+F2706/2,0)</f>
        <v>10</v>
      </c>
      <c r="E2706" t="s">
        <v>6</v>
      </c>
      <c r="F2706" s="6">
        <f t="shared" si="158"/>
        <v>7</v>
      </c>
      <c r="G2706" s="24" t="s">
        <v>265</v>
      </c>
      <c r="H2706" s="24">
        <f>H2703</f>
        <v>4000</v>
      </c>
      <c r="I2706" s="24">
        <f>I2704-400</f>
        <v>6000</v>
      </c>
    </row>
    <row r="2707" spans="4:14">
      <c r="D2707">
        <v>8</v>
      </c>
      <c r="E2707" t="s">
        <v>1</v>
      </c>
      <c r="F2707" s="6">
        <v>2</v>
      </c>
      <c r="G2707" s="24">
        <v>3470</v>
      </c>
      <c r="H2707" s="6">
        <v>4900</v>
      </c>
      <c r="I2707" s="6">
        <v>3470</v>
      </c>
      <c r="J2707" s="6">
        <v>5100</v>
      </c>
    </row>
    <row r="2708" spans="4:14">
      <c r="D2708">
        <v>8</v>
      </c>
      <c r="E2708" t="s">
        <v>1</v>
      </c>
      <c r="F2708" s="6">
        <v>2</v>
      </c>
      <c r="G2708" s="24">
        <v>5400</v>
      </c>
      <c r="H2708" s="6">
        <v>4900</v>
      </c>
      <c r="I2708" s="6">
        <v>5400</v>
      </c>
      <c r="J2708" s="6">
        <v>5100</v>
      </c>
    </row>
    <row r="2709" spans="4:14">
      <c r="D2709">
        <v>8</v>
      </c>
      <c r="E2709" t="s">
        <v>1</v>
      </c>
      <c r="F2709" s="6">
        <v>2</v>
      </c>
      <c r="G2709" s="24">
        <v>6475</v>
      </c>
      <c r="H2709" s="6">
        <v>4900</v>
      </c>
      <c r="I2709" s="6">
        <v>6475</v>
      </c>
      <c r="J2709" s="6">
        <v>5100</v>
      </c>
    </row>
    <row r="2710" spans="4:14">
      <c r="D2710">
        <v>8</v>
      </c>
      <c r="E2710" t="s">
        <v>1</v>
      </c>
      <c r="F2710" s="6">
        <v>2</v>
      </c>
      <c r="G2710" s="24">
        <v>7413</v>
      </c>
      <c r="H2710" s="6">
        <v>4900</v>
      </c>
      <c r="I2710" s="6">
        <v>7413</v>
      </c>
      <c r="J2710" s="6">
        <v>5100</v>
      </c>
    </row>
    <row r="2711" spans="4:14">
      <c r="D2711">
        <v>8</v>
      </c>
      <c r="E2711" t="s">
        <v>1</v>
      </c>
      <c r="F2711" s="6">
        <v>2</v>
      </c>
      <c r="G2711" s="24">
        <v>7892</v>
      </c>
      <c r="H2711" s="6">
        <v>4900</v>
      </c>
      <c r="I2711" s="6">
        <v>7892</v>
      </c>
      <c r="J2711" s="6">
        <v>5100</v>
      </c>
    </row>
    <row r="2712" spans="4:14">
      <c r="D2712">
        <v>8</v>
      </c>
      <c r="E2712" t="s">
        <v>1</v>
      </c>
      <c r="F2712" s="6">
        <v>2</v>
      </c>
      <c r="G2712" s="24">
        <v>8447</v>
      </c>
      <c r="H2712" s="6">
        <v>4900</v>
      </c>
      <c r="I2712" s="6">
        <v>8447</v>
      </c>
      <c r="J2712" s="6">
        <v>5100</v>
      </c>
    </row>
    <row r="2713" spans="4:14">
      <c r="D2713">
        <v>8</v>
      </c>
      <c r="E2713" t="s">
        <v>1</v>
      </c>
      <c r="F2713" s="6">
        <v>2</v>
      </c>
      <c r="G2713" s="24">
        <v>9220</v>
      </c>
      <c r="H2713" s="6">
        <v>4900</v>
      </c>
      <c r="I2713" s="6">
        <v>9220</v>
      </c>
      <c r="J2713" s="6">
        <v>5100</v>
      </c>
    </row>
    <row r="2714" spans="4:14">
      <c r="D2714">
        <v>8</v>
      </c>
      <c r="E2714" t="s">
        <v>1</v>
      </c>
      <c r="F2714" s="6">
        <v>2</v>
      </c>
      <c r="G2714" s="24">
        <v>11000</v>
      </c>
      <c r="H2714" s="6">
        <v>4900</v>
      </c>
      <c r="I2714" s="6">
        <v>11000</v>
      </c>
      <c r="J2714" s="6">
        <v>5100</v>
      </c>
    </row>
    <row r="2715" spans="4:14">
      <c r="D2715">
        <v>8</v>
      </c>
      <c r="E2715" t="s">
        <v>1</v>
      </c>
      <c r="F2715" s="6">
        <v>2</v>
      </c>
      <c r="G2715" s="24">
        <v>700</v>
      </c>
      <c r="H2715" s="24">
        <v>2577</v>
      </c>
      <c r="I2715" s="24">
        <v>900</v>
      </c>
      <c r="J2715" s="24">
        <v>2577</v>
      </c>
    </row>
    <row r="2716" spans="4:14">
      <c r="D2716">
        <v>8</v>
      </c>
      <c r="E2716" t="s">
        <v>1</v>
      </c>
      <c r="F2716" s="6">
        <v>2</v>
      </c>
      <c r="G2716" s="24">
        <v>700</v>
      </c>
      <c r="H2716" s="6">
        <v>2146</v>
      </c>
      <c r="I2716" s="6">
        <v>900</v>
      </c>
      <c r="J2716" s="6">
        <v>2146</v>
      </c>
    </row>
    <row r="2717" spans="4:14">
      <c r="D2717">
        <v>8</v>
      </c>
      <c r="E2717" t="s">
        <v>1</v>
      </c>
      <c r="F2717" s="6">
        <v>2</v>
      </c>
      <c r="G2717" s="24">
        <v>700</v>
      </c>
      <c r="H2717" s="6">
        <v>1668</v>
      </c>
      <c r="I2717" s="6">
        <v>900</v>
      </c>
      <c r="J2717" s="6">
        <v>1668</v>
      </c>
    </row>
    <row r="2718" spans="4:14">
      <c r="D2718">
        <v>8</v>
      </c>
      <c r="E2718" t="s">
        <v>1</v>
      </c>
      <c r="F2718" s="6">
        <v>2</v>
      </c>
      <c r="G2718" s="24">
        <v>700</v>
      </c>
      <c r="H2718" s="6">
        <v>1002</v>
      </c>
      <c r="I2718" s="6">
        <v>900</v>
      </c>
      <c r="J2718" s="6">
        <v>1002</v>
      </c>
    </row>
    <row r="2719" spans="4:14">
      <c r="D2719">
        <v>8</v>
      </c>
      <c r="E2719" t="s">
        <v>1</v>
      </c>
      <c r="F2719" s="6">
        <v>2</v>
      </c>
      <c r="G2719" s="24">
        <v>700</v>
      </c>
      <c r="H2719" s="6">
        <v>450</v>
      </c>
      <c r="I2719" s="6">
        <v>900</v>
      </c>
      <c r="J2719" s="6">
        <v>450</v>
      </c>
    </row>
    <row r="2720" spans="4:14">
      <c r="D2720">
        <f>ROUNDUP(6+F2720/2,0)</f>
        <v>9</v>
      </c>
      <c r="E2720" t="s">
        <v>6</v>
      </c>
      <c r="F2720" s="6">
        <f>LEN(G2720)</f>
        <v>5</v>
      </c>
      <c r="G2720" s="36" t="s">
        <v>308</v>
      </c>
      <c r="H2720" s="6">
        <v>4600</v>
      </c>
      <c r="I2720" s="6">
        <v>7559</v>
      </c>
      <c r="K2720" s="24"/>
      <c r="L2720" s="24"/>
      <c r="M2720" s="24"/>
      <c r="N2720" s="24"/>
    </row>
    <row r="2721" spans="1:15">
      <c r="E2721" t="s">
        <v>517</v>
      </c>
      <c r="F2721" s="6" t="s">
        <v>598</v>
      </c>
      <c r="G2721" s="6">
        <v>10</v>
      </c>
      <c r="H2721" s="6">
        <v>4850</v>
      </c>
      <c r="I2721" s="6">
        <v>2427</v>
      </c>
      <c r="J2721" s="6">
        <v>1996</v>
      </c>
      <c r="K2721" s="6">
        <v>1518</v>
      </c>
      <c r="L2721" s="6">
        <v>852</v>
      </c>
      <c r="M2721" s="6">
        <v>300</v>
      </c>
    </row>
    <row r="2722" spans="1:15">
      <c r="D2722">
        <v>4</v>
      </c>
      <c r="E2722" t="s">
        <v>15</v>
      </c>
      <c r="F2722" s="6">
        <v>5</v>
      </c>
      <c r="G2722" s="24"/>
    </row>
    <row r="2723" spans="1:15">
      <c r="D2723">
        <f>ROUNDUP(6+F2723/2,0)</f>
        <v>8</v>
      </c>
      <c r="E2723" t="s">
        <v>6</v>
      </c>
      <c r="F2723" s="6">
        <f>LEN(G2723)</f>
        <v>3</v>
      </c>
      <c r="G2723" s="24" t="s">
        <v>30</v>
      </c>
      <c r="H2723" s="6">
        <v>4000</v>
      </c>
      <c r="I2723" s="6">
        <v>11400</v>
      </c>
    </row>
    <row r="2724" spans="1:15">
      <c r="D2724">
        <f>ROUNDUP(6+F2724/2,0)</f>
        <v>8</v>
      </c>
      <c r="E2724" t="s">
        <v>6</v>
      </c>
      <c r="F2724" s="6">
        <f>LEN(G2724)</f>
        <v>3</v>
      </c>
      <c r="G2724" s="24" t="s">
        <v>262</v>
      </c>
      <c r="H2724" s="6">
        <v>2700</v>
      </c>
      <c r="I2724" s="6">
        <v>11200</v>
      </c>
    </row>
    <row r="2725" spans="1:15">
      <c r="D2725">
        <f>ROUNDUP(6+F2725/2,0)</f>
        <v>8</v>
      </c>
      <c r="E2725" t="s">
        <v>6</v>
      </c>
      <c r="F2725" s="6">
        <f>LEN(G2725)</f>
        <v>3</v>
      </c>
      <c r="G2725" s="24" t="s">
        <v>33</v>
      </c>
      <c r="H2725" s="6">
        <v>1600</v>
      </c>
      <c r="I2725" s="6">
        <f>I2723</f>
        <v>11400</v>
      </c>
    </row>
    <row r="2729" spans="1:15">
      <c r="A2729" s="48" t="s">
        <v>383</v>
      </c>
      <c r="B2729" s="1" t="s">
        <v>771</v>
      </c>
      <c r="D2729" t="s">
        <v>449</v>
      </c>
      <c r="E2729">
        <v>52695</v>
      </c>
      <c r="F2729" s="6">
        <v>39622</v>
      </c>
      <c r="G2729" s="6">
        <v>0</v>
      </c>
      <c r="H2729" s="6">
        <v>0</v>
      </c>
      <c r="I2729" s="6">
        <v>0</v>
      </c>
      <c r="J2729" s="6">
        <v>480</v>
      </c>
      <c r="K2729" s="6">
        <v>250</v>
      </c>
      <c r="L2729" s="6">
        <v>96</v>
      </c>
      <c r="M2729" s="6">
        <v>0</v>
      </c>
      <c r="N2729" s="6">
        <v>0</v>
      </c>
      <c r="O2729" s="6" t="e">
        <f ca="1">checksummeint(G2729,H2729,I2729,J2729,K2729,L2729,M2729,N2729)</f>
        <v>#NAME?</v>
      </c>
    </row>
    <row r="2730" spans="1:15">
      <c r="D2730">
        <v>28</v>
      </c>
      <c r="E2730" t="s">
        <v>12</v>
      </c>
      <c r="F2730" s="6">
        <v>18</v>
      </c>
      <c r="G2730" s="6">
        <v>0</v>
      </c>
      <c r="H2730" s="6">
        <v>0</v>
      </c>
      <c r="I2730" s="6">
        <v>0</v>
      </c>
      <c r="J2730" s="6">
        <v>400</v>
      </c>
      <c r="K2730" s="6">
        <v>0</v>
      </c>
      <c r="L2730" s="6">
        <v>0</v>
      </c>
      <c r="M2730" s="6">
        <v>0</v>
      </c>
      <c r="N2730" s="6">
        <v>0</v>
      </c>
      <c r="O2730" s="6" t="s">
        <v>19</v>
      </c>
    </row>
    <row r="2731" spans="1:15">
      <c r="A2731" t="s">
        <v>314</v>
      </c>
      <c r="D2731">
        <v>5</v>
      </c>
      <c r="E2731" t="s">
        <v>59</v>
      </c>
      <c r="F2731" s="6">
        <v>1</v>
      </c>
      <c r="G2731" s="6">
        <v>0</v>
      </c>
    </row>
    <row r="2732" spans="1:15">
      <c r="D2732">
        <v>8</v>
      </c>
      <c r="E2732" t="s">
        <v>14</v>
      </c>
      <c r="F2732" s="6">
        <v>0</v>
      </c>
      <c r="G2732" s="6">
        <v>1</v>
      </c>
      <c r="H2732" s="6">
        <v>0</v>
      </c>
      <c r="I2732" s="6">
        <v>0</v>
      </c>
      <c r="J2732" s="6">
        <v>0</v>
      </c>
      <c r="M2732" s="44"/>
      <c r="N2732" s="45"/>
      <c r="O2732" s="46"/>
    </row>
    <row r="2733" spans="1:15">
      <c r="D2733">
        <v>7</v>
      </c>
      <c r="E2733" t="s">
        <v>11</v>
      </c>
      <c r="F2733" s="6">
        <v>0</v>
      </c>
      <c r="G2733" s="24">
        <f>255*256+192</f>
        <v>65472</v>
      </c>
      <c r="H2733" s="24">
        <v>192</v>
      </c>
      <c r="I2733" s="6">
        <v>0</v>
      </c>
    </row>
    <row r="2734" spans="1:15">
      <c r="D2734">
        <v>7</v>
      </c>
      <c r="E2734" t="s">
        <v>11</v>
      </c>
      <c r="F2734" s="6">
        <v>0</v>
      </c>
      <c r="G2734" s="6">
        <v>0</v>
      </c>
      <c r="H2734" s="6">
        <v>0</v>
      </c>
      <c r="I2734" s="6">
        <v>0</v>
      </c>
    </row>
    <row r="2735" spans="1:15">
      <c r="A2735" s="1"/>
      <c r="B2735" s="1"/>
      <c r="D2735">
        <v>4</v>
      </c>
      <c r="E2735" t="s">
        <v>15</v>
      </c>
      <c r="F2735" s="6">
        <v>0</v>
      </c>
      <c r="G2735" s="24"/>
    </row>
    <row r="2736" spans="1:15">
      <c r="A2736" s="1"/>
      <c r="B2736" s="1"/>
      <c r="D2736">
        <v>4</v>
      </c>
      <c r="E2736" t="s">
        <v>15</v>
      </c>
      <c r="F2736" s="6">
        <v>1</v>
      </c>
    </row>
    <row r="2737" spans="1:21">
      <c r="A2737" s="1"/>
      <c r="B2737" s="1"/>
      <c r="D2737">
        <v>4</v>
      </c>
      <c r="E2737" t="s">
        <v>15</v>
      </c>
      <c r="F2737" s="6">
        <v>3</v>
      </c>
      <c r="G2737" s="24"/>
    </row>
    <row r="2738" spans="1:21">
      <c r="A2738" s="1"/>
      <c r="B2738" s="1"/>
      <c r="E2738" t="s">
        <v>113</v>
      </c>
      <c r="F2738" s="6">
        <v>10</v>
      </c>
      <c r="G2738" s="24">
        <v>40</v>
      </c>
      <c r="H2738" s="24">
        <v>175</v>
      </c>
      <c r="I2738" s="24">
        <f>G2738+U2738</f>
        <v>290</v>
      </c>
      <c r="J2738" s="24">
        <f>H2738-U2739</f>
        <v>100</v>
      </c>
      <c r="K2738" s="24" t="s">
        <v>22</v>
      </c>
      <c r="N2738" s="2">
        <f>COUNT(S2738:CD2738)</f>
        <v>3</v>
      </c>
      <c r="O2738" s="24"/>
      <c r="S2738" s="2">
        <v>0</v>
      </c>
      <c r="T2738" s="2">
        <f>0.3*U2738</f>
        <v>75</v>
      </c>
      <c r="U2738" s="2">
        <v>250</v>
      </c>
    </row>
    <row r="2739" spans="1:21">
      <c r="A2739" s="1"/>
      <c r="B2739" s="1"/>
      <c r="C2739" t="s">
        <v>329</v>
      </c>
      <c r="D2739" s="2">
        <f>F2739*2+4</f>
        <v>8</v>
      </c>
      <c r="E2739" s="2" t="s">
        <v>1</v>
      </c>
      <c r="F2739" s="24">
        <v>2</v>
      </c>
      <c r="G2739" s="24">
        <f>I2739</f>
        <v>290</v>
      </c>
      <c r="H2739" s="24">
        <f>J2739+10</f>
        <v>180</v>
      </c>
      <c r="I2739" s="24">
        <f>I2738</f>
        <v>290</v>
      </c>
      <c r="J2739" s="24">
        <f>H2738-5</f>
        <v>170</v>
      </c>
      <c r="K2739" s="36" t="s">
        <v>21</v>
      </c>
      <c r="L2739" s="24"/>
      <c r="Q2739" s="24">
        <v>2</v>
      </c>
      <c r="S2739" s="2">
        <v>0</v>
      </c>
      <c r="T2739" s="2">
        <f>U2739</f>
        <v>75</v>
      </c>
      <c r="U2739" s="2">
        <v>75</v>
      </c>
    </row>
    <row r="2740" spans="1:21">
      <c r="B2740" s="1"/>
      <c r="C2740" s="2" t="s">
        <v>327</v>
      </c>
      <c r="D2740" s="2">
        <f>F2740*2+4</f>
        <v>8</v>
      </c>
      <c r="E2740" s="2" t="s">
        <v>1</v>
      </c>
      <c r="F2740" s="24">
        <v>2</v>
      </c>
      <c r="G2740" s="24">
        <f>G2738-5</f>
        <v>35</v>
      </c>
      <c r="H2740" s="24">
        <f>J2740</f>
        <v>100</v>
      </c>
      <c r="I2740" s="24">
        <f>G2740+10</f>
        <v>45</v>
      </c>
      <c r="J2740" s="24">
        <f>J2738</f>
        <v>100</v>
      </c>
      <c r="K2740" s="24"/>
      <c r="L2740" s="24"/>
      <c r="O2740" s="24"/>
      <c r="Q2740" s="6"/>
      <c r="S2740" s="2">
        <v>0</v>
      </c>
      <c r="T2740" s="2">
        <v>75</v>
      </c>
      <c r="U2740" s="2">
        <v>220</v>
      </c>
    </row>
    <row r="2741" spans="1:21">
      <c r="A2741" s="1"/>
      <c r="B2741" s="1"/>
      <c r="C2741" s="2" t="s">
        <v>328</v>
      </c>
      <c r="D2741" s="2">
        <f>ROUNDUP(6+F2741/2,0)</f>
        <v>8</v>
      </c>
      <c r="E2741" s="2" t="s">
        <v>6</v>
      </c>
      <c r="F2741" s="24">
        <f>LEN(G2741)</f>
        <v>3</v>
      </c>
      <c r="G2741" s="24" t="s">
        <v>310</v>
      </c>
      <c r="H2741" s="24">
        <f>H2739</f>
        <v>180</v>
      </c>
      <c r="I2741" s="24">
        <f>I2739-10</f>
        <v>280</v>
      </c>
      <c r="J2741" s="24"/>
      <c r="K2741" s="24"/>
      <c r="L2741" s="24"/>
      <c r="O2741" s="24"/>
      <c r="Q2741" s="24"/>
      <c r="S2741" s="2">
        <v>0</v>
      </c>
      <c r="T2741" s="2">
        <f>U2741</f>
        <v>75</v>
      </c>
      <c r="U2741" s="2">
        <v>75</v>
      </c>
    </row>
    <row r="2742" spans="1:21">
      <c r="B2742" s="1"/>
      <c r="C2742" s="2" t="s">
        <v>327</v>
      </c>
      <c r="D2742" s="2">
        <f>ROUNDUP(6+F2742/2,0)</f>
        <v>8</v>
      </c>
      <c r="E2742" s="2" t="s">
        <v>6</v>
      </c>
      <c r="F2742" s="24">
        <f>LEN(G2742)</f>
        <v>3</v>
      </c>
      <c r="G2742" s="24" t="s">
        <v>311</v>
      </c>
      <c r="H2742" s="24">
        <f>H2740-8</f>
        <v>92</v>
      </c>
      <c r="I2742" s="24">
        <f>I2740-40</f>
        <v>5</v>
      </c>
      <c r="J2742" s="24"/>
      <c r="K2742" s="24"/>
      <c r="L2742" s="24"/>
      <c r="O2742" s="24"/>
      <c r="Q2742" s="24"/>
      <c r="S2742" s="2">
        <v>0</v>
      </c>
      <c r="T2742" s="2">
        <v>150</v>
      </c>
      <c r="U2742" s="2">
        <v>220</v>
      </c>
    </row>
    <row r="2743" spans="1:21">
      <c r="A2743" s="2"/>
      <c r="B2743" s="3"/>
      <c r="C2743" s="2" t="s">
        <v>330</v>
      </c>
      <c r="D2743">
        <v>4</v>
      </c>
      <c r="E2743" t="s">
        <v>15</v>
      </c>
      <c r="F2743" s="6">
        <v>3</v>
      </c>
      <c r="G2743" s="24"/>
      <c r="Q2743" s="24"/>
      <c r="S2743" s="2">
        <v>0</v>
      </c>
      <c r="T2743" s="2">
        <f>U2743</f>
        <v>75</v>
      </c>
      <c r="U2743" s="2">
        <v>75</v>
      </c>
    </row>
    <row r="2744" spans="1:21">
      <c r="A2744" s="2"/>
      <c r="B2744" s="3"/>
      <c r="C2744" s="2"/>
      <c r="E2744" t="s">
        <v>113</v>
      </c>
      <c r="F2744" s="6">
        <v>10</v>
      </c>
      <c r="G2744" s="24">
        <f>I2738</f>
        <v>290</v>
      </c>
      <c r="H2744" s="24">
        <f>J2738</f>
        <v>100</v>
      </c>
      <c r="I2744" s="24">
        <f>G2744+U2744</f>
        <v>440</v>
      </c>
      <c r="J2744" s="24">
        <f>H2744-U2745</f>
        <v>25</v>
      </c>
      <c r="K2744" s="24" t="s">
        <v>22</v>
      </c>
      <c r="N2744" s="2">
        <f>COUNT(S2744:CD2744)</f>
        <v>3</v>
      </c>
      <c r="O2744" s="24"/>
      <c r="Q2744" s="6"/>
      <c r="S2744" s="2">
        <v>0</v>
      </c>
      <c r="T2744" s="2">
        <f>0.4*U2744</f>
        <v>60</v>
      </c>
      <c r="U2744" s="2">
        <v>150</v>
      </c>
    </row>
    <row r="2745" spans="1:21">
      <c r="A2745" s="2"/>
      <c r="B2745" s="3"/>
      <c r="C2745" s="2" t="s">
        <v>329</v>
      </c>
      <c r="D2745" s="2">
        <f>F2745*2+4</f>
        <v>8</v>
      </c>
      <c r="E2745" s="2" t="s">
        <v>1</v>
      </c>
      <c r="F2745" s="24">
        <v>2</v>
      </c>
      <c r="G2745" s="24">
        <f>I2745</f>
        <v>440</v>
      </c>
      <c r="H2745" s="24">
        <f>J2745+10</f>
        <v>105</v>
      </c>
      <c r="I2745" s="24">
        <f>I2744</f>
        <v>440</v>
      </c>
      <c r="J2745" s="24">
        <f>H2744-5</f>
        <v>95</v>
      </c>
      <c r="K2745" s="36" t="s">
        <v>21</v>
      </c>
      <c r="L2745" s="24"/>
      <c r="Q2745" s="24">
        <v>2</v>
      </c>
      <c r="S2745" s="2">
        <v>0</v>
      </c>
      <c r="T2745" s="2">
        <f>U2745</f>
        <v>75</v>
      </c>
      <c r="U2745" s="2">
        <v>75</v>
      </c>
    </row>
    <row r="2746" spans="1:21">
      <c r="A2746" s="2"/>
      <c r="B2746" s="3"/>
      <c r="C2746" s="2" t="s">
        <v>327</v>
      </c>
      <c r="D2746" s="2">
        <f>F2746*2+4</f>
        <v>8</v>
      </c>
      <c r="E2746" s="2" t="s">
        <v>1</v>
      </c>
      <c r="F2746" s="24">
        <v>2</v>
      </c>
      <c r="G2746" s="24">
        <f>G2744-5</f>
        <v>285</v>
      </c>
      <c r="H2746" s="24">
        <f>J2746</f>
        <v>25</v>
      </c>
      <c r="I2746" s="24">
        <f>G2746+10</f>
        <v>295</v>
      </c>
      <c r="J2746" s="24">
        <f>J2744</f>
        <v>25</v>
      </c>
      <c r="K2746" s="24"/>
      <c r="L2746" s="24"/>
      <c r="M2746" s="24"/>
      <c r="O2746" s="24"/>
      <c r="S2746" s="2">
        <v>0</v>
      </c>
      <c r="T2746" s="2">
        <v>80</v>
      </c>
      <c r="U2746" s="2">
        <v>180</v>
      </c>
    </row>
    <row r="2747" spans="1:21">
      <c r="A2747" s="2"/>
      <c r="B2747" s="3"/>
      <c r="C2747" s="2" t="s">
        <v>328</v>
      </c>
      <c r="D2747" s="2">
        <f>ROUNDUP(6+F2747/2,0)</f>
        <v>8</v>
      </c>
      <c r="E2747" s="2" t="s">
        <v>6</v>
      </c>
      <c r="F2747" s="24">
        <f>LEN(G2747)</f>
        <v>3</v>
      </c>
      <c r="G2747" s="24" t="s">
        <v>31</v>
      </c>
      <c r="H2747" s="24">
        <f>H2745</f>
        <v>105</v>
      </c>
      <c r="I2747" s="24">
        <f>I2745-10</f>
        <v>430</v>
      </c>
      <c r="J2747" s="24"/>
      <c r="K2747" s="24"/>
      <c r="L2747" s="24"/>
      <c r="M2747" s="24"/>
      <c r="O2747" s="24"/>
      <c r="S2747" s="2">
        <v>0</v>
      </c>
      <c r="T2747" s="2">
        <f>U2747</f>
        <v>75</v>
      </c>
      <c r="U2747" s="2">
        <v>75</v>
      </c>
    </row>
    <row r="2748" spans="1:21">
      <c r="A2748" s="2"/>
      <c r="B2748" s="3"/>
      <c r="C2748" s="2" t="s">
        <v>327</v>
      </c>
      <c r="D2748" s="2">
        <f>ROUNDUP(6+F2748/2,0)</f>
        <v>8</v>
      </c>
      <c r="E2748" s="2" t="s">
        <v>6</v>
      </c>
      <c r="F2748" s="24">
        <f>LEN(G2748)</f>
        <v>3</v>
      </c>
      <c r="G2748" s="24" t="s">
        <v>30</v>
      </c>
      <c r="H2748" s="24">
        <f>H2746-8</f>
        <v>17</v>
      </c>
      <c r="I2748" s="24">
        <f>I2746-40</f>
        <v>255</v>
      </c>
      <c r="J2748" s="24"/>
      <c r="K2748" s="24"/>
      <c r="L2748" s="24"/>
      <c r="M2748" s="24"/>
      <c r="O2748" s="24"/>
      <c r="S2748" s="2">
        <v>0</v>
      </c>
      <c r="T2748" s="2">
        <v>60</v>
      </c>
      <c r="U2748" s="2">
        <v>180</v>
      </c>
    </row>
    <row r="2749" spans="1:21">
      <c r="B2749" s="1"/>
      <c r="C2749" s="2" t="s">
        <v>330</v>
      </c>
      <c r="D2749">
        <v>4</v>
      </c>
      <c r="E2749" t="s">
        <v>15</v>
      </c>
      <c r="F2749" s="6">
        <v>3</v>
      </c>
      <c r="G2749" s="24"/>
      <c r="H2749" s="24"/>
      <c r="I2749" s="24"/>
      <c r="J2749" s="24"/>
      <c r="K2749" s="24"/>
      <c r="L2749" s="24"/>
      <c r="M2749" s="36"/>
      <c r="O2749" s="24"/>
      <c r="S2749" s="2">
        <v>0</v>
      </c>
      <c r="T2749" s="2">
        <f>U2749</f>
        <v>75</v>
      </c>
      <c r="U2749" s="2">
        <v>75</v>
      </c>
    </row>
    <row r="2750" spans="1:21">
      <c r="B2750" s="1"/>
      <c r="D2750" s="2">
        <v>64</v>
      </c>
      <c r="E2750" s="2" t="s">
        <v>114</v>
      </c>
      <c r="F2750" s="24">
        <v>10</v>
      </c>
      <c r="G2750" s="24">
        <f>G2738</f>
        <v>40</v>
      </c>
      <c r="H2750" s="24">
        <v>210</v>
      </c>
      <c r="I2750" s="24">
        <f>I2744</f>
        <v>440</v>
      </c>
      <c r="J2750" s="24">
        <f>H2750</f>
        <v>210</v>
      </c>
      <c r="K2750" s="24">
        <f>I2738</f>
        <v>290</v>
      </c>
      <c r="L2750" s="24">
        <f>J2750</f>
        <v>210</v>
      </c>
      <c r="M2750" s="24"/>
      <c r="N2750" s="24"/>
      <c r="O2750" s="24"/>
      <c r="P2750" s="2"/>
      <c r="Q2750" s="2"/>
      <c r="R2750" s="2"/>
      <c r="S2750" s="2"/>
    </row>
    <row r="2751" spans="1:21">
      <c r="B2751" s="1"/>
      <c r="D2751" s="2">
        <v>44</v>
      </c>
      <c r="E2751" s="2" t="s">
        <v>112</v>
      </c>
      <c r="F2751" s="24">
        <v>10</v>
      </c>
      <c r="G2751" s="24">
        <f>G2750</f>
        <v>40</v>
      </c>
      <c r="H2751" s="24">
        <v>235</v>
      </c>
      <c r="I2751" s="24">
        <f>I2750</f>
        <v>440</v>
      </c>
      <c r="J2751" s="24">
        <f>H2751</f>
        <v>235</v>
      </c>
      <c r="K2751" s="24"/>
      <c r="L2751" s="24"/>
      <c r="M2751" s="24"/>
      <c r="N2751" s="24"/>
      <c r="O2751" s="24"/>
      <c r="P2751" s="2"/>
      <c r="Q2751" s="2"/>
      <c r="R2751" s="2"/>
      <c r="S2751" s="2"/>
    </row>
    <row r="2752" spans="1:21">
      <c r="A2752" s="1"/>
      <c r="B2752" s="1"/>
      <c r="D2752" s="2">
        <f>ROUNDUP(6+F2752/2,0)</f>
        <v>8</v>
      </c>
      <c r="E2752" s="2" t="s">
        <v>6</v>
      </c>
      <c r="F2752" s="24">
        <f>LEN(G2752)</f>
        <v>3</v>
      </c>
      <c r="G2752" s="24" t="s">
        <v>310</v>
      </c>
      <c r="H2752" s="24">
        <f>H2750-18</f>
        <v>192</v>
      </c>
      <c r="I2752" s="24">
        <f>G2750/2+K2750/2-10</f>
        <v>155</v>
      </c>
      <c r="J2752" s="24"/>
      <c r="K2752" s="24"/>
      <c r="L2752" s="24"/>
      <c r="M2752" s="24"/>
      <c r="O2752" s="24"/>
      <c r="P2752" s="2"/>
      <c r="Q2752" s="2"/>
      <c r="R2752" s="2"/>
      <c r="S2752" s="2"/>
    </row>
    <row r="2753" spans="1:21">
      <c r="B2753" s="1"/>
      <c r="D2753" s="2">
        <f>ROUNDUP(6+F2753/2,0)</f>
        <v>8</v>
      </c>
      <c r="E2753" s="2" t="s">
        <v>6</v>
      </c>
      <c r="F2753" s="24">
        <f>LEN(G2753)</f>
        <v>3</v>
      </c>
      <c r="G2753" s="24" t="s">
        <v>31</v>
      </c>
      <c r="H2753" s="24">
        <f>H2750-18</f>
        <v>192</v>
      </c>
      <c r="I2753" s="24">
        <f>I2750/2+K2750/2-10</f>
        <v>355</v>
      </c>
      <c r="J2753" s="24"/>
      <c r="K2753" s="24"/>
      <c r="L2753" s="24"/>
      <c r="M2753" s="24"/>
      <c r="N2753" s="24"/>
      <c r="O2753" s="24"/>
      <c r="P2753" s="2"/>
      <c r="Q2753" s="2"/>
      <c r="R2753" s="2"/>
      <c r="S2753" s="2"/>
    </row>
    <row r="2754" spans="1:21">
      <c r="B2754" s="1"/>
      <c r="D2754" s="2">
        <f>ROUNDUP(6+F2754/2,0)</f>
        <v>10</v>
      </c>
      <c r="E2754" s="2" t="s">
        <v>6</v>
      </c>
      <c r="F2754" s="24">
        <f>LEN(G2754)</f>
        <v>7</v>
      </c>
      <c r="G2754" s="24" t="s">
        <v>312</v>
      </c>
      <c r="H2754" s="24">
        <f>H2751-18</f>
        <v>217</v>
      </c>
      <c r="I2754" s="24">
        <f>I2751/2+G2751/2-25</f>
        <v>215</v>
      </c>
      <c r="J2754" s="24"/>
      <c r="K2754" s="24"/>
      <c r="L2754" s="24"/>
      <c r="O2754" s="24"/>
      <c r="P2754" s="2"/>
      <c r="Q2754" s="2"/>
      <c r="R2754" s="2"/>
      <c r="S2754" s="2"/>
    </row>
    <row r="2755" spans="1:21">
      <c r="A2755" s="2"/>
      <c r="B2755" s="3"/>
      <c r="C2755" s="2"/>
      <c r="D2755" s="2">
        <f>ROUNDUP(6+F2755/2,0)</f>
        <v>15</v>
      </c>
      <c r="E2755" s="2" t="s">
        <v>6</v>
      </c>
      <c r="F2755" s="24">
        <f>LEN(G2755)</f>
        <v>17</v>
      </c>
      <c r="G2755" s="24" t="s">
        <v>313</v>
      </c>
      <c r="H2755" s="24">
        <v>5</v>
      </c>
      <c r="I2755" s="24">
        <v>5</v>
      </c>
      <c r="J2755" s="24"/>
      <c r="K2755" s="24"/>
      <c r="L2755" s="24"/>
      <c r="M2755" s="24"/>
      <c r="N2755" s="24"/>
      <c r="O2755" s="24"/>
      <c r="P2755" s="2"/>
      <c r="Q2755" s="2"/>
      <c r="R2755" s="2"/>
      <c r="S2755" s="2"/>
    </row>
    <row r="2756" spans="1:21">
      <c r="D2756">
        <v>28</v>
      </c>
      <c r="E2756" t="s">
        <v>12</v>
      </c>
      <c r="F2756" s="6">
        <v>24</v>
      </c>
      <c r="G2756" s="6">
        <v>0</v>
      </c>
      <c r="H2756" s="6">
        <v>0</v>
      </c>
      <c r="I2756" s="6">
        <v>0</v>
      </c>
      <c r="J2756" s="6">
        <v>700</v>
      </c>
      <c r="K2756" s="6">
        <v>0</v>
      </c>
      <c r="L2756" s="6">
        <v>0</v>
      </c>
      <c r="M2756" s="6">
        <v>0</v>
      </c>
      <c r="N2756" s="6">
        <v>0</v>
      </c>
      <c r="O2756" s="6" t="s">
        <v>19</v>
      </c>
    </row>
    <row r="2757" spans="1:21">
      <c r="D2757">
        <v>4</v>
      </c>
      <c r="E2757" t="s">
        <v>15</v>
      </c>
      <c r="F2757" s="6">
        <v>4</v>
      </c>
      <c r="O2757" s="24"/>
    </row>
    <row r="2758" spans="1:21">
      <c r="D2758" s="2">
        <f>ROUNDUP(6+F2758/2,0)</f>
        <v>7</v>
      </c>
      <c r="E2758" s="2" t="s">
        <v>6</v>
      </c>
      <c r="F2758" s="24">
        <f>LEN(G2758)</f>
        <v>1</v>
      </c>
      <c r="G2758" s="24" t="s">
        <v>320</v>
      </c>
      <c r="H2758" s="24">
        <f>H2741-30</f>
        <v>150</v>
      </c>
      <c r="I2758" s="24">
        <f>I2741-15</f>
        <v>265</v>
      </c>
    </row>
    <row r="2759" spans="1:21">
      <c r="D2759" s="2">
        <f>ROUNDUP(6+F2759/2,0)</f>
        <v>7</v>
      </c>
      <c r="E2759" s="2" t="s">
        <v>6</v>
      </c>
      <c r="F2759" s="24">
        <f>LEN(G2759)</f>
        <v>1</v>
      </c>
      <c r="G2759" s="24" t="s">
        <v>21</v>
      </c>
      <c r="H2759" s="24">
        <f>H2747-30</f>
        <v>75</v>
      </c>
      <c r="I2759" s="24">
        <f>I2747-15</f>
        <v>415</v>
      </c>
    </row>
    <row r="2762" spans="1:21">
      <c r="A2762" s="48" t="s">
        <v>383</v>
      </c>
      <c r="B2762" s="1" t="s">
        <v>772</v>
      </c>
      <c r="D2762" s="48" t="s">
        <v>449</v>
      </c>
      <c r="E2762" s="48">
        <v>52695</v>
      </c>
      <c r="F2762" s="6">
        <v>39622</v>
      </c>
      <c r="G2762" s="6">
        <v>0</v>
      </c>
      <c r="H2762" s="6">
        <v>0</v>
      </c>
      <c r="I2762" s="6">
        <v>0</v>
      </c>
      <c r="J2762" s="6">
        <v>480</v>
      </c>
      <c r="K2762" s="6">
        <v>340</v>
      </c>
      <c r="L2762" s="6">
        <v>96</v>
      </c>
      <c r="M2762" s="6">
        <v>0</v>
      </c>
      <c r="N2762" s="6">
        <v>0</v>
      </c>
      <c r="O2762" s="6" t="e">
        <f ca="1">checksummeint(G2762,H2762,I2762,J2762,K2762,L2762,M2762,N2762)</f>
        <v>#NAME?</v>
      </c>
      <c r="P2762" s="48"/>
      <c r="Q2762" s="48"/>
      <c r="R2762" s="48"/>
      <c r="S2762" s="48"/>
      <c r="T2762" s="48"/>
      <c r="U2762" s="48"/>
    </row>
    <row r="2763" spans="1:21">
      <c r="D2763" s="48">
        <v>28</v>
      </c>
      <c r="E2763" s="48" t="s">
        <v>12</v>
      </c>
      <c r="F2763" s="6">
        <v>18</v>
      </c>
      <c r="G2763" s="6">
        <v>0</v>
      </c>
      <c r="H2763" s="6">
        <v>0</v>
      </c>
      <c r="I2763" s="6">
        <v>0</v>
      </c>
      <c r="J2763" s="6">
        <v>400</v>
      </c>
      <c r="K2763" s="6">
        <v>0</v>
      </c>
      <c r="L2763" s="6">
        <v>0</v>
      </c>
      <c r="M2763" s="6">
        <v>0</v>
      </c>
      <c r="N2763" s="6">
        <v>0</v>
      </c>
      <c r="O2763" s="6" t="s">
        <v>19</v>
      </c>
      <c r="P2763" s="48"/>
      <c r="Q2763" s="48"/>
      <c r="R2763" s="48"/>
      <c r="S2763" s="48"/>
      <c r="T2763" s="48"/>
      <c r="U2763" s="48"/>
    </row>
    <row r="2764" spans="1:21">
      <c r="A2764" t="s">
        <v>314</v>
      </c>
      <c r="D2764" s="48">
        <v>5</v>
      </c>
      <c r="E2764" s="48" t="s">
        <v>59</v>
      </c>
      <c r="F2764" s="6">
        <v>1</v>
      </c>
      <c r="G2764" s="6">
        <v>0</v>
      </c>
      <c r="P2764" s="48"/>
      <c r="Q2764" s="48"/>
      <c r="R2764" s="48"/>
      <c r="S2764" s="48"/>
      <c r="T2764" s="48"/>
      <c r="U2764" s="48"/>
    </row>
    <row r="2765" spans="1:21">
      <c r="D2765" s="48">
        <v>8</v>
      </c>
      <c r="E2765" s="48" t="s">
        <v>14</v>
      </c>
      <c r="F2765" s="6">
        <v>0</v>
      </c>
      <c r="G2765" s="6">
        <v>1</v>
      </c>
      <c r="H2765" s="6">
        <v>0</v>
      </c>
      <c r="I2765" s="6">
        <v>0</v>
      </c>
      <c r="J2765" s="6">
        <v>0</v>
      </c>
      <c r="M2765" s="44"/>
      <c r="N2765" s="45"/>
      <c r="O2765" s="46"/>
      <c r="P2765" s="48"/>
      <c r="Q2765" s="48"/>
      <c r="R2765" s="48"/>
      <c r="S2765" s="48"/>
      <c r="T2765" s="48"/>
      <c r="U2765" s="48"/>
    </row>
    <row r="2766" spans="1:21">
      <c r="D2766" s="48">
        <v>7</v>
      </c>
      <c r="E2766" s="48" t="s">
        <v>11</v>
      </c>
      <c r="F2766" s="6">
        <v>0</v>
      </c>
      <c r="G2766" s="50">
        <f>255*256+192</f>
        <v>65472</v>
      </c>
      <c r="H2766" s="50">
        <v>192</v>
      </c>
      <c r="I2766" s="6">
        <v>0</v>
      </c>
      <c r="P2766" s="48"/>
      <c r="Q2766" s="48"/>
      <c r="R2766" s="48"/>
      <c r="S2766" s="48"/>
      <c r="T2766" s="48"/>
      <c r="U2766" s="48"/>
    </row>
    <row r="2767" spans="1:21">
      <c r="D2767" s="48">
        <v>7</v>
      </c>
      <c r="E2767" s="48" t="s">
        <v>11</v>
      </c>
      <c r="F2767" s="6">
        <v>0</v>
      </c>
      <c r="G2767" s="6">
        <v>0</v>
      </c>
      <c r="H2767" s="6">
        <v>0</v>
      </c>
      <c r="I2767" s="6">
        <v>0</v>
      </c>
      <c r="P2767" s="48"/>
      <c r="Q2767" s="48"/>
      <c r="R2767" s="48"/>
      <c r="S2767" s="48"/>
      <c r="T2767" s="48"/>
      <c r="U2767" s="48"/>
    </row>
    <row r="2768" spans="1:21">
      <c r="A2768" s="1"/>
      <c r="B2768" s="1"/>
      <c r="D2768" s="48">
        <v>4</v>
      </c>
      <c r="E2768" s="48" t="s">
        <v>15</v>
      </c>
      <c r="F2768" s="6">
        <v>0</v>
      </c>
      <c r="G2768" s="50"/>
      <c r="P2768" s="48"/>
      <c r="Q2768" s="48"/>
      <c r="R2768" s="48"/>
      <c r="S2768" s="48"/>
      <c r="T2768" s="48"/>
      <c r="U2768" s="48"/>
    </row>
    <row r="2769" spans="1:21">
      <c r="A2769" s="1"/>
      <c r="B2769" s="1"/>
      <c r="D2769" s="48">
        <v>4</v>
      </c>
      <c r="E2769" s="48" t="s">
        <v>15</v>
      </c>
      <c r="F2769" s="6">
        <v>1</v>
      </c>
      <c r="P2769" s="48"/>
      <c r="Q2769" s="48"/>
      <c r="R2769" s="48"/>
      <c r="S2769" s="48"/>
      <c r="T2769" s="48"/>
      <c r="U2769" s="48"/>
    </row>
    <row r="2770" spans="1:21">
      <c r="A2770" s="1"/>
      <c r="B2770" s="1"/>
      <c r="D2770" s="48"/>
      <c r="E2770" s="48" t="s">
        <v>113</v>
      </c>
      <c r="F2770" s="6">
        <v>10</v>
      </c>
      <c r="G2770" s="50">
        <v>40</v>
      </c>
      <c r="H2770" s="50">
        <v>250</v>
      </c>
      <c r="I2770" s="50">
        <f>G2770+U2770</f>
        <v>440</v>
      </c>
      <c r="J2770" s="50">
        <f>H2770-U2771</f>
        <v>175</v>
      </c>
      <c r="K2770" s="50" t="s">
        <v>22</v>
      </c>
      <c r="L2770" s="49">
        <v>0</v>
      </c>
      <c r="M2770" s="49">
        <v>0</v>
      </c>
      <c r="N2770" s="49">
        <f>COUNT(S2770:CD2770)</f>
        <v>3</v>
      </c>
      <c r="O2770" s="50">
        <v>0</v>
      </c>
      <c r="P2770" s="50">
        <v>0</v>
      </c>
      <c r="Q2770" s="49">
        <v>3</v>
      </c>
      <c r="R2770" s="49">
        <v>0</v>
      </c>
      <c r="S2770" s="49">
        <v>0</v>
      </c>
      <c r="T2770" s="49">
        <v>75</v>
      </c>
      <c r="U2770" s="49">
        <v>400</v>
      </c>
    </row>
    <row r="2771" spans="1:21">
      <c r="A2771" s="1"/>
      <c r="B2771" s="1"/>
      <c r="D2771" s="49">
        <f>F2771*2+4</f>
        <v>8</v>
      </c>
      <c r="E2771" s="49" t="s">
        <v>1</v>
      </c>
      <c r="F2771" s="50">
        <v>2</v>
      </c>
      <c r="G2771" s="50">
        <f>I2771</f>
        <v>440</v>
      </c>
      <c r="H2771" s="50">
        <f>J2771+10</f>
        <v>255</v>
      </c>
      <c r="I2771" s="50">
        <f>I2770</f>
        <v>440</v>
      </c>
      <c r="J2771" s="50">
        <f>H2770-5</f>
        <v>245</v>
      </c>
      <c r="K2771" s="36" t="s">
        <v>21</v>
      </c>
      <c r="L2771" s="50"/>
      <c r="M2771" s="49"/>
      <c r="N2771" s="48"/>
      <c r="P2771" s="49"/>
      <c r="Q2771" s="50">
        <v>2</v>
      </c>
      <c r="R2771" s="49"/>
      <c r="S2771" s="49">
        <v>0</v>
      </c>
      <c r="T2771" s="49">
        <f>U2771</f>
        <v>75</v>
      </c>
      <c r="U2771" s="49">
        <v>75</v>
      </c>
    </row>
    <row r="2772" spans="1:21">
      <c r="A2772" s="1"/>
      <c r="B2772" s="1"/>
      <c r="D2772" s="49">
        <f>F2772*2+4</f>
        <v>8</v>
      </c>
      <c r="E2772" s="49" t="s">
        <v>1</v>
      </c>
      <c r="F2772" s="50">
        <v>2</v>
      </c>
      <c r="G2772" s="50">
        <f>G2770-5</f>
        <v>35</v>
      </c>
      <c r="H2772" s="50">
        <f>J2772</f>
        <v>175</v>
      </c>
      <c r="I2772" s="50">
        <f>G2772+10</f>
        <v>45</v>
      </c>
      <c r="J2772" s="50">
        <f>J2770</f>
        <v>175</v>
      </c>
      <c r="K2772" s="50"/>
      <c r="L2772" s="50"/>
      <c r="M2772" s="49"/>
      <c r="N2772" s="49"/>
      <c r="O2772" s="50"/>
      <c r="P2772" s="49"/>
      <c r="Q2772" s="6"/>
      <c r="R2772" s="49"/>
      <c r="S2772" s="49"/>
      <c r="T2772" s="49"/>
      <c r="U2772" s="49"/>
    </row>
    <row r="2773" spans="1:21">
      <c r="B2773" s="1"/>
      <c r="D2773" s="49">
        <f>ROUNDUP(6+F2773/2,0)</f>
        <v>10</v>
      </c>
      <c r="E2773" s="49" t="s">
        <v>6</v>
      </c>
      <c r="F2773" s="50">
        <f>LEN(G2773)</f>
        <v>7</v>
      </c>
      <c r="G2773" s="50" t="s">
        <v>312</v>
      </c>
      <c r="H2773" s="50">
        <f>H2771</f>
        <v>255</v>
      </c>
      <c r="I2773" s="50">
        <f>I2771-30</f>
        <v>410</v>
      </c>
      <c r="J2773" s="50"/>
      <c r="K2773" s="50"/>
      <c r="L2773" s="50"/>
      <c r="M2773" s="49"/>
      <c r="N2773" s="49"/>
      <c r="O2773" s="50"/>
      <c r="P2773" s="49"/>
      <c r="Q2773" s="50"/>
      <c r="R2773" s="49"/>
      <c r="S2773" s="49"/>
      <c r="T2773" s="49"/>
      <c r="U2773" s="49"/>
    </row>
    <row r="2774" spans="1:21">
      <c r="A2774" s="1"/>
      <c r="B2774" s="1"/>
      <c r="D2774" s="49">
        <f>ROUNDUP(6+F2774/2,0)</f>
        <v>8</v>
      </c>
      <c r="E2774" s="49" t="s">
        <v>6</v>
      </c>
      <c r="F2774" s="50">
        <f>LEN(G2774)</f>
        <v>3</v>
      </c>
      <c r="G2774" s="50" t="s">
        <v>311</v>
      </c>
      <c r="H2774" s="50">
        <f>H2772-8</f>
        <v>167</v>
      </c>
      <c r="I2774" s="50">
        <f>I2772-40</f>
        <v>5</v>
      </c>
      <c r="J2774" s="50"/>
      <c r="K2774" s="50"/>
      <c r="L2774" s="50"/>
      <c r="M2774" s="49"/>
      <c r="N2774" s="49"/>
      <c r="O2774" s="50"/>
      <c r="P2774" s="49"/>
      <c r="Q2774" s="50"/>
      <c r="R2774" s="49"/>
      <c r="S2774" s="49"/>
      <c r="T2774" s="49"/>
      <c r="U2774" s="49"/>
    </row>
    <row r="2775" spans="1:21">
      <c r="B2775" s="1"/>
      <c r="D2775" s="48"/>
      <c r="E2775" s="48" t="s">
        <v>113</v>
      </c>
      <c r="F2775" s="6">
        <v>10</v>
      </c>
      <c r="G2775" s="50">
        <f>G2770+U2770-U2775</f>
        <v>140</v>
      </c>
      <c r="H2775" s="50">
        <v>100</v>
      </c>
      <c r="I2775" s="50">
        <f>G2775+U2775</f>
        <v>440</v>
      </c>
      <c r="J2775" s="50">
        <f>H2775-U2776</f>
        <v>25</v>
      </c>
      <c r="K2775" s="50" t="s">
        <v>22</v>
      </c>
      <c r="L2775" s="49"/>
      <c r="M2775" s="49"/>
      <c r="N2775" s="49">
        <f>COUNT(S2775:CD2775)</f>
        <v>3</v>
      </c>
      <c r="O2775" s="50"/>
      <c r="P2775" s="49"/>
      <c r="Q2775" s="6">
        <v>3</v>
      </c>
      <c r="R2775" s="49"/>
      <c r="S2775" s="49">
        <v>0</v>
      </c>
      <c r="T2775" s="49">
        <f>0.4*U2775</f>
        <v>120</v>
      </c>
      <c r="U2775" s="49">
        <v>300</v>
      </c>
    </row>
    <row r="2776" spans="1:21">
      <c r="A2776" s="2"/>
      <c r="B2776" s="3"/>
      <c r="C2776" s="2"/>
      <c r="D2776" s="49">
        <f>F2776*2+4</f>
        <v>8</v>
      </c>
      <c r="E2776" s="49" t="s">
        <v>1</v>
      </c>
      <c r="F2776" s="50">
        <v>2</v>
      </c>
      <c r="G2776" s="50">
        <f>I2776</f>
        <v>440</v>
      </c>
      <c r="H2776" s="50">
        <f>J2776+10</f>
        <v>105</v>
      </c>
      <c r="I2776" s="50">
        <f>I2775</f>
        <v>440</v>
      </c>
      <c r="J2776" s="50">
        <f>H2775-5</f>
        <v>95</v>
      </c>
      <c r="K2776" s="36" t="s">
        <v>21</v>
      </c>
      <c r="L2776" s="50"/>
      <c r="M2776" s="49"/>
      <c r="P2776" s="48"/>
      <c r="Q2776" s="50">
        <v>2</v>
      </c>
      <c r="R2776" s="49"/>
      <c r="S2776" s="49">
        <v>0</v>
      </c>
      <c r="T2776" s="49">
        <f>U2776</f>
        <v>75</v>
      </c>
      <c r="U2776" s="49">
        <v>75</v>
      </c>
    </row>
    <row r="2777" spans="1:21">
      <c r="A2777" s="2"/>
      <c r="B2777" s="3"/>
      <c r="C2777" s="2"/>
      <c r="D2777" s="49">
        <f>F2777*2+4</f>
        <v>8</v>
      </c>
      <c r="E2777" s="49" t="s">
        <v>1</v>
      </c>
      <c r="F2777" s="50">
        <v>2</v>
      </c>
      <c r="G2777" s="50">
        <f>G2775-5</f>
        <v>135</v>
      </c>
      <c r="H2777" s="50">
        <f>J2777</f>
        <v>25</v>
      </c>
      <c r="I2777" s="50">
        <f>G2777+10</f>
        <v>145</v>
      </c>
      <c r="J2777" s="50">
        <f>J2775</f>
        <v>25</v>
      </c>
      <c r="K2777" s="50"/>
      <c r="L2777" s="50"/>
      <c r="M2777" s="50"/>
      <c r="N2777" s="50"/>
      <c r="O2777" s="50"/>
      <c r="P2777" s="49"/>
      <c r="Q2777" s="6"/>
      <c r="R2777" s="49"/>
      <c r="S2777" s="49"/>
      <c r="T2777" s="48"/>
      <c r="U2777" s="48"/>
    </row>
    <row r="2778" spans="1:21">
      <c r="A2778" s="2"/>
      <c r="B2778" s="3"/>
      <c r="C2778" s="2"/>
      <c r="D2778" s="49">
        <f>ROUNDUP(6+F2778/2,0)</f>
        <v>10</v>
      </c>
      <c r="E2778" s="49" t="s">
        <v>6</v>
      </c>
      <c r="F2778" s="50">
        <f>LEN(G2778)</f>
        <v>7</v>
      </c>
      <c r="G2778" s="50" t="s">
        <v>312</v>
      </c>
      <c r="H2778" s="50">
        <f>H2776</f>
        <v>105</v>
      </c>
      <c r="I2778" s="50">
        <f>I2776-30</f>
        <v>410</v>
      </c>
      <c r="J2778" s="50"/>
      <c r="K2778" s="50"/>
      <c r="L2778" s="50"/>
      <c r="M2778" s="50"/>
      <c r="O2778" s="50"/>
      <c r="P2778" s="49"/>
      <c r="Q2778" s="49"/>
      <c r="R2778" s="49"/>
      <c r="S2778" s="49"/>
      <c r="T2778" s="48"/>
      <c r="U2778" s="48"/>
    </row>
    <row r="2779" spans="1:21">
      <c r="A2779" s="2"/>
      <c r="B2779" s="3"/>
      <c r="C2779" s="2"/>
      <c r="D2779" s="49">
        <f>ROUNDUP(6+F2779/2,0)</f>
        <v>8</v>
      </c>
      <c r="E2779" s="49" t="s">
        <v>6</v>
      </c>
      <c r="F2779" s="50">
        <f>LEN(G2779)</f>
        <v>3</v>
      </c>
      <c r="G2779" s="50" t="s">
        <v>30</v>
      </c>
      <c r="H2779" s="50">
        <f>H2777-8</f>
        <v>17</v>
      </c>
      <c r="I2779" s="50">
        <f>I2777-40</f>
        <v>105</v>
      </c>
      <c r="J2779" s="50"/>
      <c r="K2779" s="50"/>
      <c r="L2779" s="50"/>
      <c r="M2779" s="50"/>
      <c r="N2779" s="50"/>
      <c r="O2779" s="50"/>
      <c r="P2779" s="49"/>
      <c r="Q2779" s="49"/>
      <c r="R2779" s="49"/>
      <c r="S2779" s="49"/>
      <c r="T2779" s="48"/>
      <c r="U2779" s="48"/>
    </row>
    <row r="2780" spans="1:21">
      <c r="A2780" s="2"/>
      <c r="B2780" s="3"/>
      <c r="C2780" s="2"/>
      <c r="D2780" s="48">
        <v>4</v>
      </c>
      <c r="E2780" s="48" t="s">
        <v>15</v>
      </c>
      <c r="F2780" s="6">
        <v>3</v>
      </c>
      <c r="G2780" s="50"/>
      <c r="H2780" s="50"/>
      <c r="I2780" s="50"/>
      <c r="J2780" s="50"/>
      <c r="K2780" s="50"/>
      <c r="L2780" s="50"/>
      <c r="M2780" s="36"/>
      <c r="O2780" s="50"/>
      <c r="P2780" s="49"/>
      <c r="Q2780" s="49"/>
      <c r="R2780" s="49"/>
      <c r="S2780" s="49"/>
      <c r="T2780" s="48"/>
      <c r="U2780" s="48"/>
    </row>
    <row r="2781" spans="1:21">
      <c r="A2781" s="2"/>
      <c r="B2781" s="3"/>
      <c r="C2781" s="2"/>
      <c r="D2781" s="49">
        <v>64</v>
      </c>
      <c r="E2781" s="49" t="s">
        <v>114</v>
      </c>
      <c r="F2781" s="50">
        <v>10</v>
      </c>
      <c r="G2781" s="50">
        <f>G2775</f>
        <v>140</v>
      </c>
      <c r="H2781" s="50">
        <v>130</v>
      </c>
      <c r="I2781" s="50">
        <f>I2775</f>
        <v>440</v>
      </c>
      <c r="J2781" s="50">
        <f>H2781</f>
        <v>130</v>
      </c>
      <c r="K2781" s="50">
        <f>G2781+T2775</f>
        <v>260</v>
      </c>
      <c r="L2781" s="50">
        <f>J2781</f>
        <v>130</v>
      </c>
      <c r="M2781" s="50" t="s">
        <v>316</v>
      </c>
      <c r="N2781" s="50" t="s">
        <v>317</v>
      </c>
      <c r="O2781" s="50"/>
      <c r="P2781" s="49"/>
      <c r="Q2781" s="49"/>
      <c r="R2781" s="49"/>
      <c r="S2781" s="49"/>
      <c r="T2781" s="48"/>
      <c r="U2781" s="48"/>
    </row>
    <row r="2782" spans="1:21">
      <c r="B2782" s="1"/>
      <c r="D2782" s="49">
        <v>44</v>
      </c>
      <c r="E2782" s="49" t="s">
        <v>112</v>
      </c>
      <c r="F2782" s="50">
        <v>10</v>
      </c>
      <c r="G2782" s="50">
        <f>G2781</f>
        <v>140</v>
      </c>
      <c r="H2782" s="50">
        <f>H2781+25</f>
        <v>155</v>
      </c>
      <c r="I2782" s="50">
        <f>I2781</f>
        <v>440</v>
      </c>
      <c r="J2782" s="50">
        <f>H2782</f>
        <v>155</v>
      </c>
      <c r="K2782" s="50" t="s">
        <v>315</v>
      </c>
      <c r="L2782" s="50"/>
      <c r="M2782" s="50"/>
      <c r="N2782" s="50"/>
      <c r="O2782" s="50"/>
      <c r="P2782" s="49"/>
      <c r="Q2782" s="49"/>
      <c r="R2782" s="49"/>
      <c r="S2782" s="49"/>
      <c r="T2782" s="48"/>
      <c r="U2782" s="48"/>
    </row>
    <row r="2783" spans="1:21">
      <c r="B2783" s="1"/>
      <c r="D2783" s="49">
        <v>64</v>
      </c>
      <c r="E2783" s="49" t="s">
        <v>114</v>
      </c>
      <c r="F2783" s="50">
        <v>10</v>
      </c>
      <c r="G2783" s="50">
        <f>G2770</f>
        <v>40</v>
      </c>
      <c r="H2783" s="50">
        <v>280</v>
      </c>
      <c r="I2783" s="50">
        <f>I2770</f>
        <v>440</v>
      </c>
      <c r="J2783" s="50">
        <f>H2783</f>
        <v>280</v>
      </c>
      <c r="K2783" s="50">
        <f>G2783+T2770</f>
        <v>115</v>
      </c>
      <c r="L2783" s="50">
        <f>J2783</f>
        <v>280</v>
      </c>
      <c r="M2783" s="36" t="s">
        <v>318</v>
      </c>
      <c r="N2783" s="50" t="s">
        <v>319</v>
      </c>
      <c r="O2783" s="50"/>
      <c r="P2783" s="49"/>
      <c r="Q2783" s="49"/>
      <c r="R2783" s="49"/>
      <c r="S2783" s="49"/>
      <c r="T2783" s="48"/>
      <c r="U2783" s="48"/>
    </row>
    <row r="2784" spans="1:21">
      <c r="B2784" s="1"/>
      <c r="D2784" s="49">
        <v>44</v>
      </c>
      <c r="E2784" s="49" t="s">
        <v>112</v>
      </c>
      <c r="F2784" s="50">
        <v>10</v>
      </c>
      <c r="G2784" s="50">
        <f>G2783</f>
        <v>40</v>
      </c>
      <c r="H2784" s="50">
        <f>H2783+25</f>
        <v>305</v>
      </c>
      <c r="I2784" s="50">
        <f>I2783</f>
        <v>440</v>
      </c>
      <c r="J2784" s="50">
        <f>H2784</f>
        <v>305</v>
      </c>
      <c r="K2784" s="50" t="s">
        <v>321</v>
      </c>
      <c r="L2784" s="50"/>
      <c r="M2784" s="50"/>
      <c r="N2784" s="50"/>
      <c r="O2784" s="50"/>
      <c r="P2784" s="49"/>
      <c r="Q2784" s="49"/>
      <c r="R2784" s="49"/>
      <c r="S2784" s="49"/>
      <c r="T2784" s="48"/>
      <c r="U2784" s="48"/>
    </row>
    <row r="2785" spans="1:21">
      <c r="A2785" s="1"/>
      <c r="B2785" s="1"/>
      <c r="D2785" s="48">
        <v>8</v>
      </c>
      <c r="E2785" s="48" t="s">
        <v>14</v>
      </c>
      <c r="F2785" s="6">
        <v>0</v>
      </c>
      <c r="G2785" s="6">
        <v>2</v>
      </c>
      <c r="H2785" s="6">
        <v>0</v>
      </c>
      <c r="I2785" s="6">
        <v>0</v>
      </c>
      <c r="J2785" s="6">
        <v>0</v>
      </c>
      <c r="K2785" s="50"/>
      <c r="L2785" s="50"/>
      <c r="M2785" s="50"/>
      <c r="N2785" s="50"/>
      <c r="O2785" s="50"/>
      <c r="P2785" s="49"/>
      <c r="Q2785" s="49"/>
      <c r="R2785" s="49"/>
      <c r="S2785" s="49"/>
      <c r="T2785" s="48"/>
      <c r="U2785" s="48"/>
    </row>
    <row r="2786" spans="1:21">
      <c r="B2786" s="1"/>
      <c r="D2786" s="48">
        <v>4</v>
      </c>
      <c r="E2786" s="48" t="s">
        <v>15</v>
      </c>
      <c r="F2786" s="6">
        <v>4</v>
      </c>
      <c r="G2786" s="50"/>
      <c r="H2786" s="50"/>
      <c r="I2786" s="50"/>
      <c r="J2786" s="50"/>
      <c r="K2786" s="50"/>
      <c r="L2786" s="50"/>
      <c r="M2786" s="50"/>
      <c r="N2786" s="50"/>
      <c r="O2786" s="50"/>
      <c r="P2786" s="49"/>
      <c r="Q2786" s="49"/>
      <c r="R2786" s="49"/>
      <c r="S2786" s="49"/>
      <c r="T2786" s="48"/>
      <c r="U2786" s="48"/>
    </row>
    <row r="2787" spans="1:21">
      <c r="B2787" s="1"/>
      <c r="D2787" s="49">
        <v>18</v>
      </c>
      <c r="E2787" s="49" t="s">
        <v>111</v>
      </c>
      <c r="F2787" s="50">
        <v>10</v>
      </c>
      <c r="G2787" s="50">
        <v>470</v>
      </c>
      <c r="H2787" s="50">
        <v>330</v>
      </c>
      <c r="I2787" s="50">
        <v>5</v>
      </c>
      <c r="J2787" s="50">
        <f>H2787</f>
        <v>330</v>
      </c>
      <c r="K2787" s="50"/>
      <c r="L2787" s="50"/>
      <c r="M2787" s="50"/>
      <c r="N2787" s="50"/>
      <c r="O2787" s="50"/>
      <c r="P2787" s="49"/>
      <c r="Q2787" s="49"/>
      <c r="R2787" s="49"/>
      <c r="S2787" s="49"/>
      <c r="T2787" s="48"/>
      <c r="U2787" s="48"/>
    </row>
    <row r="2788" spans="1:21">
      <c r="A2788" s="2"/>
      <c r="B2788" s="3"/>
      <c r="C2788" s="2"/>
      <c r="D2788" s="49">
        <f>ROUNDUP(6+F2788/2,0)</f>
        <v>8</v>
      </c>
      <c r="E2788" s="49" t="s">
        <v>6</v>
      </c>
      <c r="F2788" s="50">
        <f>LEN(G2788)</f>
        <v>4</v>
      </c>
      <c r="G2788" s="50" t="s">
        <v>326</v>
      </c>
      <c r="H2788" s="50">
        <v>314</v>
      </c>
      <c r="I2788" s="50">
        <v>205</v>
      </c>
      <c r="J2788" s="50"/>
      <c r="K2788" s="50"/>
      <c r="L2788" s="50"/>
      <c r="M2788" s="50"/>
      <c r="N2788" s="50"/>
      <c r="O2788" s="50"/>
      <c r="P2788" s="49"/>
      <c r="Q2788" s="49"/>
      <c r="R2788" s="49"/>
      <c r="S2788" s="49"/>
      <c r="T2788" s="48"/>
      <c r="U2788" s="48"/>
    </row>
    <row r="2789" spans="1:21">
      <c r="A2789" s="2"/>
      <c r="B2789" s="3"/>
      <c r="C2789" s="2"/>
      <c r="D2789" s="48">
        <v>28</v>
      </c>
      <c r="E2789" s="48" t="s">
        <v>12</v>
      </c>
      <c r="F2789" s="6">
        <v>24</v>
      </c>
      <c r="G2789" s="6">
        <v>0</v>
      </c>
      <c r="H2789" s="6">
        <v>0</v>
      </c>
      <c r="I2789" s="6">
        <v>0</v>
      </c>
      <c r="J2789" s="6">
        <v>700</v>
      </c>
      <c r="K2789" s="6">
        <v>0</v>
      </c>
      <c r="L2789" s="6">
        <v>0</v>
      </c>
      <c r="M2789" s="6">
        <v>0</v>
      </c>
      <c r="N2789" s="6">
        <v>0</v>
      </c>
      <c r="O2789" s="6" t="s">
        <v>19</v>
      </c>
      <c r="P2789" s="49"/>
      <c r="Q2789" s="49"/>
      <c r="R2789" s="49"/>
      <c r="S2789" s="49"/>
      <c r="T2789" s="48"/>
      <c r="U2789" s="48"/>
    </row>
    <row r="2790" spans="1:21">
      <c r="A2790" s="2"/>
      <c r="B2790" s="3"/>
      <c r="C2790" s="2"/>
      <c r="D2790" s="48">
        <v>4</v>
      </c>
      <c r="E2790" s="48" t="s">
        <v>15</v>
      </c>
      <c r="F2790" s="6">
        <v>5</v>
      </c>
      <c r="O2790" s="50"/>
      <c r="P2790" s="49"/>
      <c r="Q2790" s="49"/>
      <c r="R2790" s="49"/>
      <c r="S2790" s="49"/>
      <c r="T2790" s="48"/>
      <c r="U2790" s="48"/>
    </row>
    <row r="2791" spans="1:21">
      <c r="A2791" s="2"/>
      <c r="B2791" s="3"/>
      <c r="C2791" s="2"/>
      <c r="D2791" s="49">
        <f>ROUNDUP(6+F2791/2,0)</f>
        <v>7</v>
      </c>
      <c r="E2791" s="49" t="s">
        <v>6</v>
      </c>
      <c r="F2791" s="50">
        <f>LEN(G2791)</f>
        <v>1</v>
      </c>
      <c r="G2791" s="50" t="s">
        <v>21</v>
      </c>
      <c r="H2791" s="50">
        <f>H2778-30</f>
        <v>75</v>
      </c>
      <c r="I2791" s="50">
        <f>I2778-15</f>
        <v>395</v>
      </c>
      <c r="J2791" s="50"/>
      <c r="K2791" s="50"/>
      <c r="L2791" s="50"/>
      <c r="M2791" s="50"/>
      <c r="N2791" s="50"/>
      <c r="O2791" s="50"/>
      <c r="P2791" s="49"/>
      <c r="Q2791" s="49"/>
      <c r="R2791" s="49"/>
      <c r="S2791" s="49"/>
      <c r="T2791" s="48"/>
      <c r="U2791" s="48"/>
    </row>
    <row r="2792" spans="1:21">
      <c r="A2792" s="2"/>
      <c r="B2792" s="3"/>
      <c r="C2792" s="2"/>
      <c r="D2792" s="49">
        <f>ROUNDUP(6+F2792/2,0)</f>
        <v>7</v>
      </c>
      <c r="E2792" s="49" t="s">
        <v>6</v>
      </c>
      <c r="F2792" s="50">
        <f>LEN(G2792)</f>
        <v>1</v>
      </c>
      <c r="G2792" s="50" t="s">
        <v>320</v>
      </c>
      <c r="H2792" s="50">
        <f>H2773-30</f>
        <v>225</v>
      </c>
      <c r="I2792" s="50">
        <f>I2773-15</f>
        <v>395</v>
      </c>
      <c r="J2792" s="50"/>
      <c r="K2792" s="50"/>
      <c r="L2792" s="50"/>
      <c r="M2792" s="50"/>
      <c r="N2792" s="50"/>
      <c r="O2792" s="50"/>
      <c r="P2792" s="49"/>
      <c r="Q2792" s="49"/>
      <c r="R2792" s="49"/>
      <c r="S2792" s="49"/>
      <c r="T2792" s="48"/>
      <c r="U2792" s="48"/>
    </row>
    <row r="2795" spans="1:21">
      <c r="A2795" s="48" t="s">
        <v>383</v>
      </c>
      <c r="B2795" s="1" t="s">
        <v>773</v>
      </c>
      <c r="C2795" s="48"/>
      <c r="D2795" s="48" t="s">
        <v>449</v>
      </c>
      <c r="E2795" s="48">
        <v>52695</v>
      </c>
      <c r="F2795" s="6">
        <v>39622</v>
      </c>
      <c r="G2795" s="6">
        <v>0</v>
      </c>
      <c r="H2795" s="6">
        <v>0</v>
      </c>
      <c r="I2795" s="6">
        <v>0</v>
      </c>
      <c r="J2795" s="6">
        <v>480</v>
      </c>
      <c r="K2795" s="6">
        <v>290</v>
      </c>
      <c r="L2795" s="6">
        <v>96</v>
      </c>
      <c r="M2795" s="6">
        <v>0</v>
      </c>
      <c r="N2795" s="6">
        <v>0</v>
      </c>
      <c r="O2795" s="6" t="e">
        <f ca="1">checksummeint(G2795,H2795,I2795,J2795,K2795,L2795,M2795,N2795)</f>
        <v>#NAME?</v>
      </c>
    </row>
    <row r="2796" spans="1:21">
      <c r="B2796" s="48"/>
      <c r="C2796" s="48"/>
      <c r="D2796" s="48">
        <v>28</v>
      </c>
      <c r="E2796" s="48" t="s">
        <v>12</v>
      </c>
      <c r="F2796" s="6">
        <v>18</v>
      </c>
      <c r="G2796" s="6">
        <v>0</v>
      </c>
      <c r="H2796" s="6">
        <v>0</v>
      </c>
      <c r="I2796" s="6">
        <v>0</v>
      </c>
      <c r="J2796" s="6">
        <v>400</v>
      </c>
      <c r="K2796" s="6">
        <v>0</v>
      </c>
      <c r="L2796" s="6">
        <v>0</v>
      </c>
      <c r="M2796" s="6">
        <v>0</v>
      </c>
      <c r="N2796" s="6">
        <v>0</v>
      </c>
      <c r="O2796" s="6" t="s">
        <v>19</v>
      </c>
    </row>
    <row r="2797" spans="1:21">
      <c r="A2797" s="1"/>
      <c r="B2797" s="48"/>
      <c r="C2797" s="48"/>
      <c r="D2797" s="48">
        <v>28</v>
      </c>
      <c r="E2797" s="48" t="s">
        <v>12</v>
      </c>
      <c r="F2797" s="6">
        <v>18</v>
      </c>
      <c r="G2797" s="6">
        <v>0</v>
      </c>
      <c r="H2797" s="6">
        <v>900</v>
      </c>
      <c r="I2797" s="6">
        <v>0</v>
      </c>
      <c r="J2797" s="6">
        <v>400</v>
      </c>
      <c r="K2797" s="6">
        <v>0</v>
      </c>
      <c r="L2797" s="6">
        <v>0</v>
      </c>
      <c r="M2797" s="6">
        <v>0</v>
      </c>
      <c r="N2797" s="6">
        <v>0</v>
      </c>
      <c r="O2797" s="6" t="s">
        <v>19</v>
      </c>
    </row>
    <row r="2798" spans="1:21">
      <c r="A2798" s="1"/>
      <c r="B2798" s="48"/>
      <c r="C2798" s="48"/>
      <c r="D2798" s="48">
        <v>28</v>
      </c>
      <c r="E2798" s="48" t="s">
        <v>12</v>
      </c>
      <c r="F2798" s="6">
        <v>24</v>
      </c>
      <c r="G2798" s="6">
        <v>0</v>
      </c>
      <c r="H2798" s="6">
        <v>0</v>
      </c>
      <c r="I2798" s="6">
        <v>0</v>
      </c>
      <c r="J2798" s="6">
        <v>700</v>
      </c>
      <c r="K2798" s="6">
        <v>0</v>
      </c>
      <c r="L2798" s="6">
        <v>0</v>
      </c>
      <c r="M2798" s="6">
        <v>0</v>
      </c>
      <c r="N2798" s="6">
        <v>0</v>
      </c>
      <c r="O2798" s="6" t="s">
        <v>19</v>
      </c>
    </row>
    <row r="2799" spans="1:21">
      <c r="A2799" s="48"/>
      <c r="B2799" s="48"/>
      <c r="C2799" s="48"/>
      <c r="D2799" s="48">
        <v>5</v>
      </c>
      <c r="E2799" s="48" t="s">
        <v>59</v>
      </c>
      <c r="F2799" s="6">
        <v>1</v>
      </c>
      <c r="G2799" s="6">
        <v>0</v>
      </c>
    </row>
    <row r="2800" spans="1:21">
      <c r="A2800" s="48"/>
      <c r="B2800" s="48"/>
      <c r="C2800" s="48"/>
      <c r="D2800" s="48">
        <v>8</v>
      </c>
      <c r="E2800" s="48" t="s">
        <v>14</v>
      </c>
      <c r="F2800" s="6">
        <v>0</v>
      </c>
      <c r="G2800" s="6">
        <v>1</v>
      </c>
      <c r="H2800" s="6">
        <v>0</v>
      </c>
      <c r="I2800" s="6">
        <v>0</v>
      </c>
      <c r="J2800" s="6">
        <v>0</v>
      </c>
      <c r="M2800" s="44"/>
      <c r="N2800" s="45"/>
      <c r="O2800" s="46"/>
    </row>
    <row r="2801" spans="1:16">
      <c r="A2801" s="48"/>
      <c r="B2801" s="48"/>
      <c r="C2801" s="48"/>
      <c r="D2801" s="48">
        <v>7</v>
      </c>
      <c r="E2801" s="48" t="s">
        <v>11</v>
      </c>
      <c r="F2801" s="6">
        <v>0</v>
      </c>
      <c r="G2801" s="50">
        <f>255*256+192</f>
        <v>65472</v>
      </c>
      <c r="H2801" s="50">
        <v>192</v>
      </c>
      <c r="I2801" s="6">
        <v>0</v>
      </c>
    </row>
    <row r="2802" spans="1:16">
      <c r="A2802" s="48"/>
      <c r="B2802" s="48"/>
      <c r="C2802" s="48"/>
      <c r="D2802" s="48">
        <v>7</v>
      </c>
      <c r="E2802" s="48" t="s">
        <v>11</v>
      </c>
      <c r="F2802" s="6">
        <v>0</v>
      </c>
      <c r="G2802" s="6">
        <v>0</v>
      </c>
      <c r="H2802" s="6">
        <v>0</v>
      </c>
      <c r="I2802" s="6">
        <v>0</v>
      </c>
    </row>
    <row r="2803" spans="1:16">
      <c r="A2803" s="1"/>
      <c r="B2803" s="1"/>
      <c r="C2803" s="48"/>
      <c r="D2803" s="48">
        <v>4</v>
      </c>
      <c r="E2803" s="48" t="s">
        <v>15</v>
      </c>
      <c r="F2803" s="6">
        <v>0</v>
      </c>
      <c r="G2803" s="50"/>
    </row>
    <row r="2804" spans="1:16">
      <c r="A2804" s="1"/>
      <c r="B2804" s="1"/>
      <c r="C2804" s="48"/>
      <c r="D2804" s="48">
        <v>4</v>
      </c>
      <c r="E2804" s="48" t="s">
        <v>15</v>
      </c>
      <c r="F2804" s="6">
        <v>3</v>
      </c>
    </row>
    <row r="2805" spans="1:16">
      <c r="A2805" s="1"/>
      <c r="B2805" s="1" t="s">
        <v>347</v>
      </c>
      <c r="C2805" s="48" t="s">
        <v>346</v>
      </c>
      <c r="D2805" s="48">
        <v>4</v>
      </c>
      <c r="E2805" s="48" t="s">
        <v>15</v>
      </c>
      <c r="F2805" s="6">
        <v>4</v>
      </c>
      <c r="G2805" s="50"/>
    </row>
    <row r="2806" spans="1:16">
      <c r="A2806" s="48"/>
      <c r="B2806" s="1">
        <v>75</v>
      </c>
      <c r="C2806" s="48">
        <v>325</v>
      </c>
      <c r="D2806" s="49">
        <v>7</v>
      </c>
      <c r="E2806" s="49" t="s">
        <v>5</v>
      </c>
      <c r="F2806" s="50">
        <v>175</v>
      </c>
      <c r="G2806" s="50">
        <v>115</v>
      </c>
      <c r="H2806" s="50">
        <f>F2806+B2806+1</f>
        <v>251</v>
      </c>
      <c r="I2806" s="50">
        <f>G2806+C2806+1</f>
        <v>441</v>
      </c>
      <c r="J2806" s="50"/>
      <c r="K2806" s="50"/>
      <c r="L2806" s="50"/>
      <c r="M2806" s="50"/>
      <c r="N2806" s="50"/>
      <c r="O2806" s="50"/>
      <c r="P2806" s="2"/>
    </row>
    <row r="2807" spans="1:16">
      <c r="A2807" s="48"/>
      <c r="B2807" s="1">
        <v>75</v>
      </c>
      <c r="C2807" s="48">
        <v>75</v>
      </c>
      <c r="D2807" s="49">
        <f>F2807*2+4</f>
        <v>10</v>
      </c>
      <c r="E2807" s="49" t="s">
        <v>4</v>
      </c>
      <c r="F2807" s="50">
        <v>3</v>
      </c>
      <c r="G2807" s="6">
        <f>G2806-15</f>
        <v>100</v>
      </c>
      <c r="H2807" s="6">
        <f>H2806-1</f>
        <v>250</v>
      </c>
      <c r="I2807" s="50">
        <f>G2807-B2807</f>
        <v>25</v>
      </c>
      <c r="J2807" s="6">
        <f>H2807</f>
        <v>250</v>
      </c>
      <c r="K2807" s="6">
        <f>G2807</f>
        <v>100</v>
      </c>
      <c r="L2807" s="6">
        <f>J2807-C2807</f>
        <v>175</v>
      </c>
      <c r="M2807" s="50"/>
      <c r="N2807" s="50"/>
      <c r="O2807" s="50"/>
      <c r="P2807" s="2"/>
    </row>
    <row r="2808" spans="1:16">
      <c r="A2808" s="49"/>
      <c r="B2808" s="3">
        <v>75</v>
      </c>
      <c r="C2808" s="49">
        <v>180</v>
      </c>
      <c r="D2808" s="49">
        <v>7</v>
      </c>
      <c r="E2808" s="49" t="s">
        <v>5</v>
      </c>
      <c r="F2808" s="50">
        <v>25</v>
      </c>
      <c r="G2808" s="50">
        <v>260</v>
      </c>
      <c r="H2808" s="50">
        <f>F2808+B2808+1</f>
        <v>101</v>
      </c>
      <c r="I2808" s="50">
        <f>G2808+C2808+1</f>
        <v>441</v>
      </c>
      <c r="J2808" s="50"/>
      <c r="K2808" s="50"/>
      <c r="L2808" s="50"/>
      <c r="M2808" s="50"/>
      <c r="N2808" s="50"/>
      <c r="O2808" s="50"/>
      <c r="P2808" s="2"/>
    </row>
    <row r="2809" spans="1:16">
      <c r="A2809" s="49"/>
      <c r="B2809" s="3">
        <v>75</v>
      </c>
      <c r="C2809" s="49">
        <v>75</v>
      </c>
      <c r="D2809" s="49">
        <f>F2809*2+4</f>
        <v>10</v>
      </c>
      <c r="E2809" s="49" t="s">
        <v>4</v>
      </c>
      <c r="F2809" s="50">
        <v>3</v>
      </c>
      <c r="G2809" s="6">
        <f>G2808-15</f>
        <v>245</v>
      </c>
      <c r="H2809" s="6">
        <f>H2808-1</f>
        <v>100</v>
      </c>
      <c r="I2809" s="50">
        <f>G2809-B2809</f>
        <v>170</v>
      </c>
      <c r="J2809" s="6">
        <f>H2809</f>
        <v>100</v>
      </c>
      <c r="K2809" s="6">
        <f>G2809</f>
        <v>245</v>
      </c>
      <c r="L2809" s="6">
        <f>J2809-C2809</f>
        <v>25</v>
      </c>
      <c r="M2809" s="50"/>
      <c r="N2809" s="50"/>
      <c r="O2809" s="50"/>
      <c r="P2809" s="2"/>
    </row>
    <row r="2810" spans="1:16">
      <c r="A2810" s="49"/>
      <c r="B2810" s="3"/>
      <c r="C2810" s="49"/>
      <c r="D2810" s="48">
        <v>4</v>
      </c>
      <c r="E2810" s="48" t="s">
        <v>15</v>
      </c>
      <c r="F2810" s="6">
        <v>5</v>
      </c>
      <c r="G2810" s="36"/>
      <c r="H2810" s="50"/>
      <c r="I2810" s="50"/>
      <c r="J2810" s="50"/>
      <c r="K2810" s="50"/>
      <c r="L2810" s="50"/>
      <c r="M2810" s="50"/>
      <c r="N2810" s="50"/>
      <c r="O2810" s="50"/>
      <c r="P2810" s="2"/>
    </row>
    <row r="2811" spans="1:16">
      <c r="A2811" s="49"/>
      <c r="B2811" s="3"/>
      <c r="C2811" s="49"/>
      <c r="D2811" s="49">
        <v>44</v>
      </c>
      <c r="E2811" s="49" t="s">
        <v>112</v>
      </c>
      <c r="F2811" s="50">
        <v>10</v>
      </c>
      <c r="G2811" s="50">
        <f>I2807</f>
        <v>25</v>
      </c>
      <c r="H2811" s="50">
        <f>J2807+25</f>
        <v>275</v>
      </c>
      <c r="I2811" s="50">
        <f>K2807</f>
        <v>100</v>
      </c>
      <c r="J2811" s="50">
        <f>H2811</f>
        <v>275</v>
      </c>
      <c r="K2811" s="50" t="s">
        <v>318</v>
      </c>
      <c r="L2811" s="50"/>
      <c r="M2811" s="50"/>
      <c r="N2811" s="50"/>
      <c r="O2811" s="50"/>
      <c r="P2811" s="2"/>
    </row>
    <row r="2812" spans="1:16">
      <c r="A2812" s="49"/>
      <c r="B2812" s="49"/>
      <c r="C2812" s="49"/>
      <c r="D2812" s="49">
        <v>44</v>
      </c>
      <c r="E2812" s="49" t="s">
        <v>112</v>
      </c>
      <c r="F2812" s="50">
        <v>10</v>
      </c>
      <c r="G2812" s="50">
        <f>G2806</f>
        <v>115</v>
      </c>
      <c r="H2812" s="50">
        <f>H2806+24</f>
        <v>275</v>
      </c>
      <c r="I2812" s="50">
        <f>I2806-1</f>
        <v>440</v>
      </c>
      <c r="J2812" s="50">
        <f>H2812</f>
        <v>275</v>
      </c>
      <c r="K2812" s="50" t="s">
        <v>319</v>
      </c>
      <c r="L2812" s="50"/>
      <c r="M2812" s="50"/>
      <c r="N2812" s="50"/>
      <c r="O2812" s="50"/>
      <c r="P2812" s="2"/>
    </row>
    <row r="2813" spans="1:16">
      <c r="A2813" s="49"/>
      <c r="B2813" s="49"/>
      <c r="C2813" s="49"/>
      <c r="D2813" s="49">
        <v>44</v>
      </c>
      <c r="E2813" s="49" t="s">
        <v>112</v>
      </c>
      <c r="F2813" s="50">
        <v>10</v>
      </c>
      <c r="G2813" s="50">
        <f>I2809</f>
        <v>170</v>
      </c>
      <c r="H2813" s="50">
        <f>J2809+25</f>
        <v>125</v>
      </c>
      <c r="I2813" s="50">
        <f>K2809</f>
        <v>245</v>
      </c>
      <c r="J2813" s="50">
        <f>H2813</f>
        <v>125</v>
      </c>
      <c r="K2813" s="50" t="s">
        <v>316</v>
      </c>
      <c r="L2813" s="50"/>
      <c r="M2813" s="50"/>
      <c r="N2813" s="50"/>
      <c r="O2813" s="50"/>
      <c r="P2813" s="2"/>
    </row>
    <row r="2814" spans="1:16">
      <c r="A2814" s="49"/>
      <c r="B2814" s="49"/>
      <c r="C2814" s="49"/>
      <c r="D2814" s="49">
        <v>44</v>
      </c>
      <c r="E2814" s="49" t="s">
        <v>112</v>
      </c>
      <c r="F2814" s="50">
        <v>10</v>
      </c>
      <c r="G2814" s="50">
        <f>G2808</f>
        <v>260</v>
      </c>
      <c r="H2814" s="50">
        <f>H2808+24</f>
        <v>125</v>
      </c>
      <c r="I2814" s="50">
        <f>I2808-1</f>
        <v>440</v>
      </c>
      <c r="J2814" s="50">
        <f>H2814</f>
        <v>125</v>
      </c>
      <c r="K2814" s="50" t="s">
        <v>317</v>
      </c>
      <c r="L2814" s="50"/>
      <c r="M2814" s="50"/>
      <c r="N2814" s="50"/>
      <c r="O2814" s="50"/>
      <c r="P2814" s="2"/>
    </row>
    <row r="2815" spans="1:16">
      <c r="A2815" s="49"/>
      <c r="B2815" s="49"/>
      <c r="C2815" s="49"/>
      <c r="D2815" s="49">
        <f>ROUNDUP(6+F2815/2,0)</f>
        <v>26</v>
      </c>
      <c r="E2815" s="49" t="s">
        <v>6</v>
      </c>
      <c r="F2815" s="50">
        <f>LEN(G2815)</f>
        <v>39</v>
      </c>
      <c r="G2815" s="50" t="s">
        <v>345</v>
      </c>
      <c r="H2815" s="50">
        <v>1</v>
      </c>
      <c r="I2815" s="50">
        <v>1</v>
      </c>
      <c r="J2815" s="50"/>
      <c r="K2815" s="50"/>
      <c r="L2815" s="50"/>
      <c r="M2815" s="50"/>
      <c r="N2815" s="50"/>
      <c r="O2815" s="50"/>
      <c r="P2815" s="2"/>
    </row>
    <row r="2816" spans="1:16">
      <c r="A2816" s="49"/>
      <c r="B2816" s="49"/>
      <c r="C2816" s="49"/>
      <c r="D2816" s="48">
        <v>4</v>
      </c>
      <c r="E2816" s="48" t="s">
        <v>15</v>
      </c>
      <c r="F2816" s="6">
        <v>1</v>
      </c>
      <c r="G2816" s="50"/>
      <c r="H2816" s="49"/>
      <c r="I2816" s="50"/>
      <c r="J2816" s="50"/>
      <c r="K2816" s="50"/>
      <c r="L2816" s="50"/>
      <c r="M2816" s="50"/>
      <c r="N2816" s="50"/>
      <c r="O2816" s="50"/>
      <c r="P2816" s="2"/>
    </row>
    <row r="2817" spans="1:22">
      <c r="A2817" s="49"/>
      <c r="B2817" s="49"/>
      <c r="C2817" s="49"/>
      <c r="D2817" s="49">
        <v>44</v>
      </c>
      <c r="E2817" s="49" t="s">
        <v>112</v>
      </c>
      <c r="F2817" s="50">
        <v>10</v>
      </c>
      <c r="G2817" s="50">
        <f>I2806+24</f>
        <v>465</v>
      </c>
      <c r="H2817" s="50">
        <f>H2806-1</f>
        <v>250</v>
      </c>
      <c r="I2817" s="50">
        <f>G2817</f>
        <v>465</v>
      </c>
      <c r="J2817" s="50">
        <f>F2806</f>
        <v>175</v>
      </c>
      <c r="K2817" s="59" t="s">
        <v>30</v>
      </c>
      <c r="L2817" s="50"/>
      <c r="M2817" s="50"/>
      <c r="N2817" s="50"/>
      <c r="O2817" s="50"/>
      <c r="P2817" s="2"/>
    </row>
    <row r="2818" spans="1:22">
      <c r="A2818" s="48"/>
      <c r="B2818" s="48"/>
      <c r="C2818" s="48"/>
      <c r="D2818" s="49">
        <v>44</v>
      </c>
      <c r="E2818" s="49" t="s">
        <v>112</v>
      </c>
      <c r="F2818" s="50">
        <v>10</v>
      </c>
      <c r="G2818" s="50">
        <f>I2808+24</f>
        <v>465</v>
      </c>
      <c r="H2818" s="50">
        <f>H2808-1</f>
        <v>100</v>
      </c>
      <c r="I2818" s="50">
        <f>G2818</f>
        <v>465</v>
      </c>
      <c r="J2818" s="50">
        <f>F2808</f>
        <v>25</v>
      </c>
      <c r="K2818" s="50" t="s">
        <v>311</v>
      </c>
      <c r="L2818" s="50"/>
      <c r="O2818" s="50"/>
      <c r="P2818" s="2"/>
    </row>
    <row r="2819" spans="1:22">
      <c r="A2819" s="49"/>
      <c r="B2819" s="49"/>
      <c r="C2819" s="49"/>
      <c r="D2819" s="48">
        <v>4</v>
      </c>
      <c r="E2819" s="48" t="s">
        <v>15</v>
      </c>
      <c r="F2819" s="6">
        <v>2</v>
      </c>
      <c r="G2819" s="50"/>
      <c r="H2819" s="50"/>
      <c r="I2819" s="50"/>
      <c r="J2819" s="50"/>
      <c r="K2819" s="50"/>
      <c r="L2819" s="50"/>
      <c r="M2819" s="50"/>
      <c r="N2819" s="50"/>
      <c r="O2819" s="50"/>
      <c r="P2819" s="2"/>
    </row>
    <row r="2820" spans="1:22">
      <c r="A2820" s="49"/>
      <c r="B2820" s="49"/>
      <c r="C2820" s="49"/>
      <c r="D2820" s="49">
        <f>ROUNDUP(6+F2820/2,0)</f>
        <v>8</v>
      </c>
      <c r="E2820" s="49" t="s">
        <v>6</v>
      </c>
      <c r="F2820" s="50">
        <f>LEN(G2820)</f>
        <v>3</v>
      </c>
      <c r="G2820" s="50" t="s">
        <v>323</v>
      </c>
      <c r="H2820" s="50">
        <v>225</v>
      </c>
      <c r="I2820" s="50">
        <v>50</v>
      </c>
      <c r="J2820" s="50"/>
      <c r="K2820" s="50"/>
      <c r="L2820" s="50"/>
      <c r="M2820" s="50"/>
      <c r="N2820" s="50"/>
      <c r="O2820" s="50"/>
      <c r="P2820" s="2"/>
    </row>
    <row r="2821" spans="1:22">
      <c r="A2821" s="49"/>
      <c r="B2821" s="49"/>
      <c r="C2821" s="49"/>
      <c r="D2821" s="49">
        <f>ROUNDUP(6+F2821/2,0)</f>
        <v>8</v>
      </c>
      <c r="E2821" s="49" t="s">
        <v>6</v>
      </c>
      <c r="F2821" s="50">
        <f>LEN(G2821)</f>
        <v>3</v>
      </c>
      <c r="G2821" s="50" t="s">
        <v>324</v>
      </c>
      <c r="H2821" s="50">
        <v>225</v>
      </c>
      <c r="I2821" s="50">
        <v>390</v>
      </c>
      <c r="J2821" s="50"/>
      <c r="K2821" s="50"/>
      <c r="L2821" s="50"/>
      <c r="M2821" s="50"/>
      <c r="N2821" s="50"/>
      <c r="O2821" s="50"/>
      <c r="P2821" s="2"/>
    </row>
    <row r="2822" spans="1:22">
      <c r="A2822" s="49"/>
      <c r="B2822" s="49"/>
      <c r="C2822" s="49"/>
      <c r="D2822" s="49">
        <f>ROUNDUP(6+F2822/2,0)</f>
        <v>8</v>
      </c>
      <c r="E2822" s="49" t="s">
        <v>6</v>
      </c>
      <c r="F2822" s="50">
        <f>LEN(G2822)</f>
        <v>3</v>
      </c>
      <c r="G2822" s="50" t="s">
        <v>325</v>
      </c>
      <c r="H2822" s="50">
        <v>75</v>
      </c>
      <c r="I2822" s="50">
        <v>390</v>
      </c>
      <c r="J2822" s="50"/>
      <c r="K2822" s="50"/>
      <c r="L2822" s="50"/>
      <c r="M2822" s="50"/>
      <c r="N2822" s="50"/>
      <c r="O2822" s="50"/>
      <c r="P2822" s="2"/>
    </row>
    <row r="2823" spans="1:22">
      <c r="A2823" s="49"/>
      <c r="B2823" s="49"/>
      <c r="C2823" s="49"/>
      <c r="D2823" s="49">
        <f>ROUNDUP(6+F2823/2,0)</f>
        <v>8</v>
      </c>
      <c r="E2823" s="49" t="s">
        <v>6</v>
      </c>
      <c r="F2823" s="50">
        <f>LEN(G2823)</f>
        <v>3</v>
      </c>
      <c r="G2823" s="50" t="s">
        <v>322</v>
      </c>
      <c r="H2823" s="50">
        <v>75</v>
      </c>
      <c r="I2823" s="50">
        <v>200</v>
      </c>
      <c r="J2823" s="50"/>
      <c r="K2823" s="50"/>
      <c r="L2823" s="50"/>
      <c r="M2823" s="50"/>
      <c r="N2823" s="50"/>
      <c r="O2823" s="50"/>
      <c r="P2823" s="2"/>
    </row>
    <row r="2826" spans="1:22">
      <c r="A2826" s="48" t="s">
        <v>383</v>
      </c>
      <c r="B2826" s="1" t="s">
        <v>774</v>
      </c>
      <c r="D2826" s="48" t="s">
        <v>449</v>
      </c>
      <c r="E2826" s="48">
        <v>52695</v>
      </c>
      <c r="F2826" s="6">
        <v>39622</v>
      </c>
      <c r="G2826" s="6">
        <v>0</v>
      </c>
      <c r="H2826" s="6">
        <v>0</v>
      </c>
      <c r="I2826" s="6">
        <v>0</v>
      </c>
      <c r="J2826" s="6">
        <v>480</v>
      </c>
      <c r="K2826" s="6">
        <v>320</v>
      </c>
      <c r="L2826" s="6">
        <v>96</v>
      </c>
      <c r="M2826" s="6">
        <v>0</v>
      </c>
      <c r="N2826" s="6">
        <v>0</v>
      </c>
      <c r="O2826" s="6" t="e">
        <f ca="1">checksummeint(G2826,H2826,I2826,J2826,K2826,L2826,M2826,N2826)</f>
        <v>#NAME?</v>
      </c>
      <c r="P2826" s="48"/>
      <c r="Q2826" s="48"/>
      <c r="R2826" s="48"/>
      <c r="S2826" s="48"/>
      <c r="T2826" s="48"/>
      <c r="U2826" s="48"/>
      <c r="V2826" s="48"/>
    </row>
    <row r="2827" spans="1:22">
      <c r="D2827" s="48">
        <v>28</v>
      </c>
      <c r="E2827" s="48" t="s">
        <v>12</v>
      </c>
      <c r="F2827" s="6">
        <v>18</v>
      </c>
      <c r="G2827" s="6">
        <v>0</v>
      </c>
      <c r="H2827" s="6">
        <v>0</v>
      </c>
      <c r="I2827" s="6">
        <v>0</v>
      </c>
      <c r="J2827" s="6">
        <v>400</v>
      </c>
      <c r="K2827" s="6">
        <v>0</v>
      </c>
      <c r="L2827" s="6">
        <v>0</v>
      </c>
      <c r="M2827" s="6">
        <v>0</v>
      </c>
      <c r="N2827" s="6">
        <v>0</v>
      </c>
      <c r="O2827" s="6" t="s">
        <v>19</v>
      </c>
      <c r="P2827" s="48"/>
      <c r="Q2827" s="48"/>
      <c r="R2827" s="48"/>
      <c r="S2827" s="48"/>
      <c r="T2827" s="48"/>
      <c r="U2827" s="48"/>
      <c r="V2827" s="48"/>
    </row>
    <row r="2828" spans="1:22">
      <c r="A2828" t="s">
        <v>314</v>
      </c>
      <c r="D2828" s="48">
        <v>5</v>
      </c>
      <c r="E2828" s="48" t="s">
        <v>59</v>
      </c>
      <c r="F2828" s="6">
        <v>1</v>
      </c>
      <c r="G2828" s="6">
        <v>0</v>
      </c>
      <c r="P2828" s="48"/>
      <c r="Q2828" s="48"/>
      <c r="R2828" s="48"/>
      <c r="S2828" s="48"/>
      <c r="T2828" s="48"/>
      <c r="U2828" s="48"/>
      <c r="V2828" s="48"/>
    </row>
    <row r="2829" spans="1:22">
      <c r="D2829" s="48">
        <v>8</v>
      </c>
      <c r="E2829" s="48" t="s">
        <v>14</v>
      </c>
      <c r="F2829" s="6">
        <v>0</v>
      </c>
      <c r="G2829" s="6">
        <v>1</v>
      </c>
      <c r="H2829" s="6">
        <v>0</v>
      </c>
      <c r="I2829" s="6">
        <v>0</v>
      </c>
      <c r="J2829" s="6">
        <v>0</v>
      </c>
      <c r="M2829" s="44"/>
      <c r="N2829" s="45"/>
      <c r="O2829" s="46"/>
      <c r="P2829" s="48"/>
      <c r="Q2829" s="48"/>
      <c r="R2829" s="48"/>
      <c r="S2829" s="48"/>
      <c r="T2829" s="48"/>
      <c r="U2829" s="48"/>
      <c r="V2829" s="48"/>
    </row>
    <row r="2830" spans="1:22">
      <c r="D2830" s="48">
        <v>7</v>
      </c>
      <c r="E2830" s="48" t="s">
        <v>11</v>
      </c>
      <c r="F2830" s="6">
        <v>0</v>
      </c>
      <c r="G2830" s="50">
        <f>255*256+192</f>
        <v>65472</v>
      </c>
      <c r="H2830" s="50">
        <v>192</v>
      </c>
      <c r="I2830" s="6">
        <v>0</v>
      </c>
      <c r="P2830" s="48"/>
      <c r="Q2830" s="48"/>
      <c r="R2830" s="48"/>
      <c r="S2830" s="48"/>
      <c r="T2830" s="48"/>
      <c r="U2830" s="48"/>
      <c r="V2830" s="48"/>
    </row>
    <row r="2831" spans="1:22">
      <c r="D2831" s="48">
        <v>7</v>
      </c>
      <c r="E2831" s="48" t="s">
        <v>11</v>
      </c>
      <c r="F2831" s="6">
        <v>0</v>
      </c>
      <c r="G2831" s="6">
        <v>0</v>
      </c>
      <c r="H2831" s="6">
        <v>0</v>
      </c>
      <c r="I2831" s="6">
        <v>0</v>
      </c>
      <c r="P2831" s="48"/>
      <c r="Q2831" s="48"/>
      <c r="R2831" s="48"/>
      <c r="S2831" s="48"/>
      <c r="T2831" s="48"/>
      <c r="U2831" s="48"/>
      <c r="V2831" s="48"/>
    </row>
    <row r="2832" spans="1:22">
      <c r="A2832" s="1"/>
      <c r="B2832" s="1"/>
      <c r="D2832" s="48">
        <v>4</v>
      </c>
      <c r="E2832" s="48" t="s">
        <v>15</v>
      </c>
      <c r="F2832" s="6">
        <v>0</v>
      </c>
      <c r="G2832" s="50"/>
      <c r="P2832" s="48"/>
      <c r="Q2832" s="48"/>
      <c r="R2832" s="48"/>
      <c r="S2832" s="48"/>
      <c r="T2832" s="48"/>
      <c r="U2832" s="48"/>
      <c r="V2832" s="48"/>
    </row>
    <row r="2833" spans="1:22">
      <c r="A2833" s="1"/>
      <c r="B2833" s="1"/>
      <c r="D2833" s="48">
        <v>4</v>
      </c>
      <c r="E2833" s="48" t="s">
        <v>15</v>
      </c>
      <c r="F2833" s="6">
        <v>1</v>
      </c>
      <c r="P2833" s="48"/>
      <c r="Q2833" s="48"/>
      <c r="R2833" s="48"/>
      <c r="S2833" s="48"/>
      <c r="T2833" s="48"/>
      <c r="U2833" s="48"/>
      <c r="V2833" s="48"/>
    </row>
    <row r="2834" spans="1:22">
      <c r="A2834" s="1"/>
      <c r="B2834" s="1"/>
      <c r="D2834" s="48"/>
      <c r="E2834" s="48" t="s">
        <v>113</v>
      </c>
      <c r="F2834" s="6">
        <v>10</v>
      </c>
      <c r="G2834" s="50">
        <v>40</v>
      </c>
      <c r="H2834" s="50">
        <v>250</v>
      </c>
      <c r="I2834" s="50">
        <f>G2834+V2834</f>
        <v>440</v>
      </c>
      <c r="J2834" s="50">
        <f>H2834-V2835</f>
        <v>175</v>
      </c>
      <c r="K2834" s="50" t="s">
        <v>22</v>
      </c>
      <c r="L2834" s="49">
        <v>0</v>
      </c>
      <c r="M2834" s="49">
        <v>0</v>
      </c>
      <c r="N2834" s="49">
        <v>4</v>
      </c>
      <c r="O2834" s="50">
        <v>0</v>
      </c>
      <c r="P2834" s="50">
        <v>0</v>
      </c>
      <c r="Q2834" s="49">
        <v>3</v>
      </c>
      <c r="R2834" s="49">
        <v>0</v>
      </c>
      <c r="S2834" s="49">
        <v>0</v>
      </c>
      <c r="T2834" s="49">
        <v>40</v>
      </c>
      <c r="U2834" s="49">
        <v>110</v>
      </c>
      <c r="V2834" s="49">
        <v>400</v>
      </c>
    </row>
    <row r="2835" spans="1:22">
      <c r="A2835" s="1"/>
      <c r="B2835" s="1"/>
      <c r="D2835" s="49">
        <f>F2835*2+4</f>
        <v>8</v>
      </c>
      <c r="E2835" s="49" t="s">
        <v>1</v>
      </c>
      <c r="F2835" s="50">
        <v>2</v>
      </c>
      <c r="G2835" s="50">
        <f>I2835</f>
        <v>440</v>
      </c>
      <c r="H2835" s="50">
        <f>J2835+10</f>
        <v>255</v>
      </c>
      <c r="I2835" s="50">
        <f>I2834</f>
        <v>440</v>
      </c>
      <c r="J2835" s="50">
        <f>H2834-5</f>
        <v>245</v>
      </c>
      <c r="K2835" s="36" t="s">
        <v>21</v>
      </c>
      <c r="L2835" s="50"/>
      <c r="M2835" s="49"/>
      <c r="N2835" s="48"/>
      <c r="P2835" s="49"/>
      <c r="Q2835" s="50">
        <v>2</v>
      </c>
      <c r="R2835" s="49"/>
      <c r="S2835" s="49">
        <v>0</v>
      </c>
      <c r="T2835" s="49">
        <v>40</v>
      </c>
      <c r="U2835" s="49">
        <f>V2835</f>
        <v>75</v>
      </c>
      <c r="V2835" s="49">
        <v>75</v>
      </c>
    </row>
    <row r="2836" spans="1:22">
      <c r="A2836" s="1"/>
      <c r="B2836" s="1"/>
      <c r="D2836" s="49">
        <f>F2836*2+4</f>
        <v>8</v>
      </c>
      <c r="E2836" s="49" t="s">
        <v>1</v>
      </c>
      <c r="F2836" s="50">
        <v>2</v>
      </c>
      <c r="G2836" s="50">
        <f>G2834-5</f>
        <v>35</v>
      </c>
      <c r="H2836" s="50">
        <f>J2836</f>
        <v>175</v>
      </c>
      <c r="I2836" s="50">
        <f>G2836+10</f>
        <v>45</v>
      </c>
      <c r="J2836" s="50">
        <f>J2834</f>
        <v>175</v>
      </c>
      <c r="K2836" s="50"/>
      <c r="L2836" s="50"/>
      <c r="M2836" s="49"/>
      <c r="N2836" s="49"/>
      <c r="O2836" s="50"/>
      <c r="P2836" s="49"/>
      <c r="Q2836" s="6"/>
      <c r="R2836" s="49"/>
      <c r="S2836" s="49"/>
      <c r="T2836" s="49"/>
      <c r="U2836" s="49"/>
      <c r="V2836" s="48"/>
    </row>
    <row r="2837" spans="1:22">
      <c r="B2837" s="2"/>
      <c r="D2837" s="49">
        <f>ROUNDUP(6+F2837/2,0)</f>
        <v>10</v>
      </c>
      <c r="E2837" s="49" t="s">
        <v>6</v>
      </c>
      <c r="F2837" s="50">
        <f>LEN(G2837)</f>
        <v>7</v>
      </c>
      <c r="G2837" s="50" t="s">
        <v>312</v>
      </c>
      <c r="H2837" s="50">
        <f>H2835</f>
        <v>255</v>
      </c>
      <c r="I2837" s="50">
        <f>I2835-30</f>
        <v>410</v>
      </c>
      <c r="J2837" s="50"/>
      <c r="K2837" s="50"/>
      <c r="L2837" s="50"/>
      <c r="M2837" s="49"/>
      <c r="N2837" s="49"/>
      <c r="O2837" s="50"/>
      <c r="P2837" s="49"/>
      <c r="Q2837" s="50"/>
      <c r="R2837" s="49"/>
      <c r="S2837" s="49"/>
      <c r="T2837" s="49"/>
      <c r="U2837" s="49"/>
      <c r="V2837" s="48"/>
    </row>
    <row r="2838" spans="1:22">
      <c r="A2838" s="1"/>
      <c r="B2838" s="2"/>
      <c r="D2838" s="49">
        <f>ROUNDUP(6+F2838/2,0)</f>
        <v>8</v>
      </c>
      <c r="E2838" s="49" t="s">
        <v>6</v>
      </c>
      <c r="F2838" s="50">
        <f>LEN(G2838)</f>
        <v>3</v>
      </c>
      <c r="G2838" s="50" t="s">
        <v>311</v>
      </c>
      <c r="H2838" s="50">
        <f>H2836-8</f>
        <v>167</v>
      </c>
      <c r="I2838" s="50">
        <f>I2836-40</f>
        <v>5</v>
      </c>
      <c r="J2838" s="50"/>
      <c r="K2838" s="50"/>
      <c r="L2838" s="50"/>
      <c r="M2838" s="49"/>
      <c r="N2838" s="49"/>
      <c r="O2838" s="50"/>
      <c r="P2838" s="49"/>
      <c r="Q2838" s="50"/>
      <c r="R2838" s="49"/>
      <c r="S2838" s="49"/>
      <c r="T2838" s="49"/>
      <c r="U2838" s="49"/>
      <c r="V2838" s="48"/>
    </row>
    <row r="2839" spans="1:22">
      <c r="B2839" s="2"/>
      <c r="D2839" s="48"/>
      <c r="E2839" s="48" t="s">
        <v>113</v>
      </c>
      <c r="F2839" s="6">
        <v>10</v>
      </c>
      <c r="G2839" s="50">
        <f>G2834+V2834-U2839</f>
        <v>80</v>
      </c>
      <c r="H2839" s="50">
        <v>100</v>
      </c>
      <c r="I2839" s="50">
        <f>G2839+U2839</f>
        <v>440</v>
      </c>
      <c r="J2839" s="50">
        <f>H2839-U2840</f>
        <v>25</v>
      </c>
      <c r="K2839" s="50" t="s">
        <v>22</v>
      </c>
      <c r="L2839" s="49"/>
      <c r="M2839" s="49"/>
      <c r="N2839" s="49">
        <v>3</v>
      </c>
      <c r="O2839" s="50"/>
      <c r="P2839" s="49"/>
      <c r="Q2839" s="6">
        <v>3</v>
      </c>
      <c r="R2839" s="49"/>
      <c r="S2839" s="49">
        <v>0</v>
      </c>
      <c r="T2839" s="49">
        <v>160</v>
      </c>
      <c r="U2839" s="49">
        <v>360</v>
      </c>
      <c r="V2839" s="48"/>
    </row>
    <row r="2840" spans="1:22">
      <c r="A2840" s="2"/>
      <c r="B2840" s="2"/>
      <c r="C2840" s="2"/>
      <c r="D2840" s="49">
        <f>F2840*2+4</f>
        <v>8</v>
      </c>
      <c r="E2840" s="49" t="s">
        <v>1</v>
      </c>
      <c r="F2840" s="50">
        <v>2</v>
      </c>
      <c r="G2840" s="50">
        <f>I2840</f>
        <v>440</v>
      </c>
      <c r="H2840" s="50">
        <f>J2840+10</f>
        <v>105</v>
      </c>
      <c r="I2840" s="50">
        <f>I2839</f>
        <v>440</v>
      </c>
      <c r="J2840" s="50">
        <f>H2839-5</f>
        <v>95</v>
      </c>
      <c r="K2840" s="36" t="s">
        <v>21</v>
      </c>
      <c r="L2840" s="50"/>
      <c r="P2840" s="48"/>
      <c r="Q2840" s="50">
        <v>2</v>
      </c>
      <c r="R2840" s="49"/>
      <c r="S2840" s="49">
        <v>0</v>
      </c>
      <c r="T2840" s="49">
        <f>U2840</f>
        <v>75</v>
      </c>
      <c r="U2840" s="49">
        <v>75</v>
      </c>
      <c r="V2840" s="48"/>
    </row>
    <row r="2841" spans="1:22">
      <c r="A2841" s="2"/>
      <c r="B2841" s="2"/>
      <c r="C2841" s="2"/>
      <c r="D2841" s="49">
        <f>F2841*2+4</f>
        <v>8</v>
      </c>
      <c r="E2841" s="49" t="s">
        <v>1</v>
      </c>
      <c r="F2841" s="50">
        <v>2</v>
      </c>
      <c r="G2841" s="50">
        <f>G2839-5</f>
        <v>75</v>
      </c>
      <c r="H2841" s="50">
        <f>J2841</f>
        <v>25</v>
      </c>
      <c r="I2841" s="50">
        <f>G2841+10</f>
        <v>85</v>
      </c>
      <c r="J2841" s="50">
        <f>J2839</f>
        <v>25</v>
      </c>
      <c r="K2841" s="50"/>
      <c r="L2841" s="50"/>
      <c r="M2841" s="50"/>
      <c r="N2841" s="50"/>
      <c r="O2841" s="50"/>
      <c r="P2841" s="49"/>
      <c r="Q2841" s="49"/>
      <c r="R2841" s="49"/>
      <c r="S2841" s="49"/>
      <c r="T2841" s="48"/>
      <c r="U2841" s="48"/>
      <c r="V2841" s="48"/>
    </row>
    <row r="2842" spans="1:22">
      <c r="A2842" s="2"/>
      <c r="B2842" s="2"/>
      <c r="C2842" s="2"/>
      <c r="D2842" s="49">
        <f>ROUNDUP(6+F2842/2,0)</f>
        <v>10</v>
      </c>
      <c r="E2842" s="49" t="s">
        <v>6</v>
      </c>
      <c r="F2842" s="50">
        <f>LEN(G2842)</f>
        <v>7</v>
      </c>
      <c r="G2842" s="50" t="s">
        <v>312</v>
      </c>
      <c r="H2842" s="50">
        <f>H2840</f>
        <v>105</v>
      </c>
      <c r="I2842" s="50">
        <f>I2840-30</f>
        <v>410</v>
      </c>
      <c r="J2842" s="50"/>
      <c r="K2842" s="50"/>
      <c r="L2842" s="50"/>
      <c r="M2842" s="50"/>
      <c r="O2842" s="50"/>
      <c r="P2842" s="49"/>
      <c r="Q2842" s="49"/>
      <c r="R2842" s="49"/>
      <c r="S2842" s="49"/>
      <c r="T2842" s="48"/>
      <c r="U2842" s="48"/>
      <c r="V2842" s="48"/>
    </row>
    <row r="2843" spans="1:22">
      <c r="A2843" s="2"/>
      <c r="B2843" s="2"/>
      <c r="C2843" s="2"/>
      <c r="D2843" s="49">
        <f>ROUNDUP(6+F2843/2,0)</f>
        <v>8</v>
      </c>
      <c r="E2843" s="49" t="s">
        <v>6</v>
      </c>
      <c r="F2843" s="50">
        <f>LEN(G2843)</f>
        <v>3</v>
      </c>
      <c r="G2843" s="50" t="s">
        <v>30</v>
      </c>
      <c r="H2843" s="50">
        <f>H2841-8</f>
        <v>17</v>
      </c>
      <c r="I2843" s="50">
        <f>I2841-40</f>
        <v>45</v>
      </c>
      <c r="J2843" s="50"/>
      <c r="K2843" s="50"/>
      <c r="L2843" s="50"/>
      <c r="M2843" s="50"/>
      <c r="N2843" s="50"/>
      <c r="O2843" s="50"/>
      <c r="P2843" s="49"/>
      <c r="Q2843" s="49"/>
      <c r="R2843" s="49"/>
      <c r="S2843" s="49"/>
      <c r="T2843" s="48"/>
      <c r="U2843" s="48"/>
      <c r="V2843" s="48"/>
    </row>
    <row r="2844" spans="1:22">
      <c r="A2844" s="2"/>
      <c r="B2844" s="2"/>
      <c r="C2844" s="2"/>
      <c r="D2844" s="48">
        <v>4</v>
      </c>
      <c r="E2844" s="48" t="s">
        <v>15</v>
      </c>
      <c r="F2844" s="6">
        <v>3</v>
      </c>
      <c r="G2844" s="50"/>
      <c r="H2844" s="50"/>
      <c r="I2844" s="50"/>
      <c r="J2844" s="50"/>
      <c r="K2844" s="49"/>
      <c r="L2844" s="50"/>
      <c r="M2844" s="49"/>
      <c r="N2844" s="49"/>
      <c r="O2844" s="50"/>
      <c r="P2844" s="49"/>
      <c r="Q2844" s="49"/>
      <c r="R2844" s="49"/>
      <c r="S2844" s="49"/>
      <c r="T2844" s="48"/>
      <c r="U2844" s="48"/>
      <c r="V2844" s="48"/>
    </row>
    <row r="2845" spans="1:22">
      <c r="A2845" s="2"/>
      <c r="B2845" s="2"/>
      <c r="C2845" s="2"/>
      <c r="D2845" s="49">
        <v>64</v>
      </c>
      <c r="E2845" s="49" t="s">
        <v>114</v>
      </c>
      <c r="F2845" s="50">
        <v>10</v>
      </c>
      <c r="G2845" s="50">
        <f>G2839</f>
        <v>80</v>
      </c>
      <c r="H2845" s="50">
        <v>130</v>
      </c>
      <c r="I2845" s="50">
        <f>I2839</f>
        <v>440</v>
      </c>
      <c r="J2845" s="50">
        <f>H2845</f>
        <v>130</v>
      </c>
      <c r="K2845" s="50">
        <f>G2845+T2839</f>
        <v>240</v>
      </c>
      <c r="L2845" s="50">
        <f>J2845</f>
        <v>130</v>
      </c>
      <c r="M2845" s="50" t="s">
        <v>335</v>
      </c>
      <c r="N2845" s="50" t="s">
        <v>336</v>
      </c>
      <c r="O2845" s="50"/>
      <c r="P2845" s="49"/>
      <c r="Q2845" s="49"/>
      <c r="R2845" s="49"/>
      <c r="S2845" s="49"/>
      <c r="T2845" s="48"/>
      <c r="U2845" s="49"/>
      <c r="V2845" s="49"/>
    </row>
    <row r="2846" spans="1:22">
      <c r="B2846" s="2"/>
      <c r="D2846" s="49">
        <v>44</v>
      </c>
      <c r="E2846" s="49" t="s">
        <v>112</v>
      </c>
      <c r="F2846" s="50">
        <v>10</v>
      </c>
      <c r="G2846" s="50">
        <f>G2845</f>
        <v>80</v>
      </c>
      <c r="H2846" s="50">
        <f>H2845+25</f>
        <v>155</v>
      </c>
      <c r="I2846" s="50">
        <f>I2845</f>
        <v>440</v>
      </c>
      <c r="J2846" s="50">
        <f>H2846</f>
        <v>155</v>
      </c>
      <c r="K2846" s="50" t="s">
        <v>337</v>
      </c>
      <c r="L2846" s="50"/>
      <c r="M2846" s="50"/>
      <c r="O2846" s="50"/>
      <c r="P2846" s="49"/>
      <c r="Q2846" s="49"/>
      <c r="R2846" s="49"/>
      <c r="S2846" s="49"/>
      <c r="T2846" s="48"/>
      <c r="U2846" s="49"/>
      <c r="V2846" s="49"/>
    </row>
    <row r="2847" spans="1:22">
      <c r="B2847" s="2"/>
      <c r="D2847" s="49">
        <v>64</v>
      </c>
      <c r="E2847" s="49" t="s">
        <v>114</v>
      </c>
      <c r="F2847" s="50">
        <v>10</v>
      </c>
      <c r="G2847" s="50">
        <f>G2834</f>
        <v>40</v>
      </c>
      <c r="H2847" s="50">
        <v>280</v>
      </c>
      <c r="I2847" s="50">
        <f>I2834</f>
        <v>440</v>
      </c>
      <c r="J2847" s="50">
        <f>H2847</f>
        <v>280</v>
      </c>
      <c r="K2847" s="50">
        <f>G2847+U2834</f>
        <v>150</v>
      </c>
      <c r="L2847" s="50">
        <f>J2847</f>
        <v>280</v>
      </c>
      <c r="M2847" s="50" t="s">
        <v>338</v>
      </c>
      <c r="N2847" s="50" t="s">
        <v>339</v>
      </c>
      <c r="O2847" s="49"/>
      <c r="P2847" s="49"/>
      <c r="Q2847" s="49"/>
      <c r="R2847" s="49"/>
      <c r="S2847" s="49"/>
      <c r="T2847" s="48"/>
      <c r="U2847" s="49"/>
      <c r="V2847" s="49"/>
    </row>
    <row r="2848" spans="1:22">
      <c r="B2848" s="1"/>
      <c r="D2848" s="49">
        <v>44</v>
      </c>
      <c r="E2848" s="49" t="s">
        <v>112</v>
      </c>
      <c r="F2848" s="50">
        <v>10</v>
      </c>
      <c r="G2848" s="50">
        <f>G2847</f>
        <v>40</v>
      </c>
      <c r="H2848" s="50">
        <f>H2847+25</f>
        <v>305</v>
      </c>
      <c r="I2848" s="50">
        <f>I2847</f>
        <v>440</v>
      </c>
      <c r="J2848" s="50">
        <f>H2848</f>
        <v>305</v>
      </c>
      <c r="K2848" s="50" t="s">
        <v>340</v>
      </c>
      <c r="L2848" s="50"/>
      <c r="M2848" s="50"/>
      <c r="N2848" s="50"/>
      <c r="O2848" s="50"/>
      <c r="P2848" s="49"/>
      <c r="Q2848" s="49"/>
      <c r="R2848" s="49"/>
      <c r="S2848" s="49"/>
      <c r="T2848" s="48"/>
      <c r="U2848" s="49"/>
      <c r="V2848" s="49"/>
    </row>
    <row r="2849" spans="1:22">
      <c r="A2849" s="1"/>
      <c r="B2849" s="2"/>
      <c r="D2849" s="49">
        <v>64</v>
      </c>
      <c r="E2849" s="49" t="s">
        <v>114</v>
      </c>
      <c r="F2849" s="50">
        <v>10</v>
      </c>
      <c r="G2849" s="50">
        <f>G2834+S2834</f>
        <v>40</v>
      </c>
      <c r="H2849" s="50">
        <v>190</v>
      </c>
      <c r="I2849" s="50">
        <f>G2834+U2834</f>
        <v>150</v>
      </c>
      <c r="J2849" s="50">
        <f>H2849</f>
        <v>190</v>
      </c>
      <c r="K2849" s="50">
        <f>G2834+T2834</f>
        <v>80</v>
      </c>
      <c r="L2849" s="50">
        <f>J2849</f>
        <v>190</v>
      </c>
      <c r="M2849" s="50" t="s">
        <v>331</v>
      </c>
      <c r="N2849" s="50" t="s">
        <v>332</v>
      </c>
      <c r="O2849" s="50"/>
      <c r="P2849" s="49"/>
      <c r="Q2849" s="49"/>
      <c r="R2849" s="49"/>
      <c r="S2849" s="49"/>
      <c r="T2849" s="48"/>
      <c r="U2849" s="49"/>
      <c r="V2849" s="49"/>
    </row>
    <row r="2850" spans="1:22">
      <c r="B2850" s="2"/>
      <c r="D2850" s="49">
        <v>44</v>
      </c>
      <c r="E2850" s="49" t="s">
        <v>112</v>
      </c>
      <c r="F2850" s="50">
        <v>10</v>
      </c>
      <c r="G2850" s="50">
        <f>K2849</f>
        <v>80</v>
      </c>
      <c r="H2850" s="50">
        <f>J2850-G2850+G2834</f>
        <v>210</v>
      </c>
      <c r="I2850" s="50">
        <f>G2850</f>
        <v>80</v>
      </c>
      <c r="J2850" s="50">
        <f>H2834</f>
        <v>250</v>
      </c>
      <c r="K2850" s="50"/>
      <c r="L2850" s="50"/>
      <c r="O2850" s="50"/>
      <c r="P2850" s="49"/>
      <c r="Q2850" s="49"/>
      <c r="R2850" s="49"/>
      <c r="S2850" s="49"/>
      <c r="T2850" s="48"/>
      <c r="U2850" s="49"/>
      <c r="V2850" s="49"/>
    </row>
    <row r="2851" spans="1:22">
      <c r="B2851" s="2"/>
      <c r="D2851" s="49">
        <f>ROUNDUP(6+F2851/2,0)</f>
        <v>11</v>
      </c>
      <c r="E2851" s="49" t="s">
        <v>6</v>
      </c>
      <c r="F2851" s="50">
        <f>LEN(G2851)</f>
        <v>9</v>
      </c>
      <c r="G2851" s="50" t="s">
        <v>334</v>
      </c>
      <c r="H2851" s="50">
        <f>H2850/2+J2850/2-10</f>
        <v>220</v>
      </c>
      <c r="I2851" s="50">
        <f>I2850+5</f>
        <v>85</v>
      </c>
      <c r="J2851" s="50"/>
      <c r="K2851" s="50"/>
      <c r="L2851" s="50"/>
      <c r="M2851" s="50"/>
      <c r="N2851" s="50"/>
      <c r="O2851" s="50"/>
      <c r="P2851" s="49"/>
      <c r="Q2851" s="49"/>
      <c r="R2851" s="49"/>
      <c r="S2851" s="49"/>
      <c r="T2851" s="48"/>
      <c r="U2851" s="49"/>
      <c r="V2851" s="49"/>
    </row>
    <row r="2852" spans="1:22">
      <c r="A2852" s="2"/>
      <c r="B2852" s="2"/>
      <c r="C2852" s="2"/>
      <c r="D2852" s="48">
        <v>28</v>
      </c>
      <c r="E2852" s="48" t="s">
        <v>12</v>
      </c>
      <c r="F2852" s="6">
        <v>24</v>
      </c>
      <c r="G2852" s="6">
        <v>0</v>
      </c>
      <c r="H2852" s="6">
        <v>0</v>
      </c>
      <c r="I2852" s="6">
        <v>0</v>
      </c>
      <c r="J2852" s="6">
        <v>700</v>
      </c>
      <c r="K2852" s="6">
        <v>0</v>
      </c>
      <c r="L2852" s="6">
        <v>0</v>
      </c>
      <c r="M2852" s="6">
        <v>0</v>
      </c>
      <c r="N2852" s="6">
        <v>0</v>
      </c>
      <c r="O2852" s="6" t="s">
        <v>19</v>
      </c>
      <c r="P2852" s="49"/>
      <c r="Q2852" s="49"/>
      <c r="R2852" s="49"/>
      <c r="S2852" s="49"/>
      <c r="T2852" s="48"/>
      <c r="U2852" s="49"/>
      <c r="V2852" s="49"/>
    </row>
    <row r="2853" spans="1:22">
      <c r="A2853" s="2"/>
      <c r="B2853" s="2"/>
      <c r="C2853" s="2"/>
      <c r="D2853" s="48">
        <v>4</v>
      </c>
      <c r="E2853" s="48" t="s">
        <v>15</v>
      </c>
      <c r="F2853" s="6">
        <v>4</v>
      </c>
      <c r="O2853" s="50"/>
      <c r="P2853" s="49"/>
      <c r="Q2853" s="49"/>
      <c r="R2853" s="49"/>
      <c r="S2853" s="49"/>
      <c r="T2853" s="49"/>
      <c r="U2853" s="49"/>
      <c r="V2853" s="49"/>
    </row>
    <row r="2854" spans="1:22">
      <c r="A2854" s="2"/>
      <c r="B2854" s="2"/>
      <c r="C2854" s="2"/>
      <c r="D2854" s="49">
        <f>ROUNDUP(6+F2854/2,0)</f>
        <v>7</v>
      </c>
      <c r="E2854" s="49" t="s">
        <v>6</v>
      </c>
      <c r="F2854" s="50">
        <f>LEN(G2854)</f>
        <v>1</v>
      </c>
      <c r="G2854" s="50" t="s">
        <v>21</v>
      </c>
      <c r="H2854" s="50">
        <f>H2842-30</f>
        <v>75</v>
      </c>
      <c r="I2854" s="50">
        <f>I2842-15</f>
        <v>395</v>
      </c>
      <c r="J2854" s="50"/>
      <c r="K2854" s="50"/>
      <c r="L2854" s="50"/>
      <c r="M2854" s="50"/>
      <c r="N2854" s="50"/>
      <c r="O2854" s="50"/>
      <c r="P2854" s="49"/>
      <c r="Q2854" s="49"/>
      <c r="R2854" s="49"/>
      <c r="S2854" s="49"/>
      <c r="T2854" s="49"/>
      <c r="U2854" s="49"/>
      <c r="V2854" s="49"/>
    </row>
    <row r="2855" spans="1:22">
      <c r="A2855" s="2"/>
      <c r="B2855" s="2"/>
      <c r="C2855" s="2"/>
      <c r="D2855" s="49">
        <f>ROUNDUP(6+F2855/2,0)</f>
        <v>7</v>
      </c>
      <c r="E2855" s="49" t="s">
        <v>6</v>
      </c>
      <c r="F2855" s="50">
        <f>LEN(G2855)</f>
        <v>1</v>
      </c>
      <c r="G2855" s="50" t="s">
        <v>320</v>
      </c>
      <c r="H2855" s="50">
        <f>H2837-30</f>
        <v>225</v>
      </c>
      <c r="I2855" s="50">
        <f>I2837-15</f>
        <v>395</v>
      </c>
      <c r="J2855" s="50"/>
      <c r="K2855" s="50"/>
      <c r="L2855" s="50"/>
      <c r="M2855" s="50"/>
      <c r="N2855" s="50"/>
      <c r="O2855" s="50"/>
      <c r="P2855" s="49"/>
      <c r="Q2855" s="49"/>
      <c r="R2855" s="49"/>
      <c r="S2855" s="49"/>
      <c r="T2855" s="49"/>
      <c r="U2855" s="49"/>
      <c r="V2855" s="49"/>
    </row>
    <row r="2858" spans="1:22">
      <c r="A2858" s="48" t="s">
        <v>383</v>
      </c>
      <c r="B2858" s="1" t="s">
        <v>775</v>
      </c>
      <c r="D2858" s="48" t="s">
        <v>449</v>
      </c>
      <c r="E2858" s="48">
        <v>52695</v>
      </c>
      <c r="F2858" s="6">
        <v>39622</v>
      </c>
      <c r="G2858" s="6">
        <v>0</v>
      </c>
      <c r="H2858" s="6">
        <v>0</v>
      </c>
      <c r="I2858" s="6">
        <v>0</v>
      </c>
      <c r="J2858" s="6">
        <v>480</v>
      </c>
      <c r="K2858" s="6">
        <v>320</v>
      </c>
      <c r="L2858" s="6">
        <v>96</v>
      </c>
      <c r="M2858" s="6">
        <v>0</v>
      </c>
      <c r="N2858" s="6">
        <v>0</v>
      </c>
      <c r="O2858" s="6" t="e">
        <f ca="1">checksummeint(G2858,H2858,I2858,J2858,K2858,L2858,M2858,N2858)</f>
        <v>#NAME?</v>
      </c>
      <c r="P2858" s="48"/>
      <c r="Q2858" s="48"/>
      <c r="R2858" s="48"/>
      <c r="S2858" s="48"/>
      <c r="T2858" s="48"/>
      <c r="U2858" s="48"/>
      <c r="V2858" s="48"/>
    </row>
    <row r="2859" spans="1:22">
      <c r="D2859" s="48">
        <v>28</v>
      </c>
      <c r="E2859" s="48" t="s">
        <v>12</v>
      </c>
      <c r="F2859" s="6">
        <v>18</v>
      </c>
      <c r="G2859" s="6">
        <v>0</v>
      </c>
      <c r="H2859" s="6">
        <v>0</v>
      </c>
      <c r="I2859" s="6">
        <v>0</v>
      </c>
      <c r="J2859" s="6">
        <v>400</v>
      </c>
      <c r="K2859" s="6">
        <v>0</v>
      </c>
      <c r="L2859" s="6">
        <v>0</v>
      </c>
      <c r="M2859" s="6">
        <v>0</v>
      </c>
      <c r="N2859" s="6">
        <v>0</v>
      </c>
      <c r="O2859" s="6" t="s">
        <v>19</v>
      </c>
      <c r="P2859" s="48"/>
      <c r="Q2859" s="48"/>
      <c r="R2859" s="48"/>
      <c r="S2859" s="48"/>
      <c r="T2859" s="48"/>
      <c r="U2859" s="48"/>
      <c r="V2859" s="48"/>
    </row>
    <row r="2860" spans="1:22">
      <c r="A2860" t="s">
        <v>314</v>
      </c>
      <c r="D2860" s="48">
        <v>5</v>
      </c>
      <c r="E2860" s="48" t="s">
        <v>59</v>
      </c>
      <c r="F2860" s="6">
        <v>1</v>
      </c>
      <c r="G2860" s="6">
        <v>0</v>
      </c>
      <c r="P2860" s="48"/>
      <c r="Q2860" s="48"/>
      <c r="R2860" s="48"/>
      <c r="S2860" s="48"/>
      <c r="T2860" s="48"/>
      <c r="U2860" s="48"/>
      <c r="V2860" s="48"/>
    </row>
    <row r="2861" spans="1:22">
      <c r="D2861" s="48">
        <v>8</v>
      </c>
      <c r="E2861" s="48" t="s">
        <v>14</v>
      </c>
      <c r="F2861" s="6">
        <v>0</v>
      </c>
      <c r="G2861" s="6">
        <v>1</v>
      </c>
      <c r="H2861" s="6">
        <v>0</v>
      </c>
      <c r="I2861" s="6">
        <v>0</v>
      </c>
      <c r="J2861" s="6">
        <v>0</v>
      </c>
      <c r="M2861" s="44"/>
      <c r="N2861" s="45"/>
      <c r="O2861" s="46"/>
      <c r="P2861" s="48"/>
      <c r="Q2861" s="48"/>
      <c r="R2861" s="48"/>
      <c r="S2861" s="48"/>
      <c r="T2861" s="48"/>
      <c r="U2861" s="48"/>
      <c r="V2861" s="48"/>
    </row>
    <row r="2862" spans="1:22">
      <c r="D2862" s="48">
        <v>7</v>
      </c>
      <c r="E2862" s="48" t="s">
        <v>11</v>
      </c>
      <c r="F2862" s="6">
        <v>0</v>
      </c>
      <c r="G2862" s="50">
        <f>255*256+192</f>
        <v>65472</v>
      </c>
      <c r="H2862" s="50">
        <v>192</v>
      </c>
      <c r="I2862" s="6">
        <v>0</v>
      </c>
      <c r="P2862" s="48"/>
      <c r="Q2862" s="48"/>
      <c r="R2862" s="48"/>
      <c r="S2862" s="48"/>
      <c r="T2862" s="48"/>
      <c r="U2862" s="48"/>
      <c r="V2862" s="48"/>
    </row>
    <row r="2863" spans="1:22">
      <c r="D2863" s="48">
        <v>7</v>
      </c>
      <c r="E2863" s="48" t="s">
        <v>11</v>
      </c>
      <c r="F2863" s="6">
        <v>0</v>
      </c>
      <c r="G2863" s="6">
        <v>0</v>
      </c>
      <c r="H2863" s="6">
        <v>0</v>
      </c>
      <c r="I2863" s="6">
        <v>0</v>
      </c>
      <c r="P2863" s="48"/>
      <c r="Q2863" s="48"/>
      <c r="R2863" s="48"/>
      <c r="S2863" s="48"/>
      <c r="T2863" s="48"/>
      <c r="U2863" s="48"/>
      <c r="V2863" s="48"/>
    </row>
    <row r="2864" spans="1:22">
      <c r="A2864" s="1"/>
      <c r="B2864" s="1"/>
      <c r="D2864" s="48">
        <v>4</v>
      </c>
      <c r="E2864" s="48" t="s">
        <v>15</v>
      </c>
      <c r="F2864" s="6">
        <v>0</v>
      </c>
      <c r="G2864" s="50"/>
      <c r="P2864" s="48"/>
      <c r="Q2864" s="48"/>
      <c r="R2864" s="48"/>
      <c r="S2864" s="48"/>
      <c r="T2864" s="48"/>
      <c r="U2864" s="48"/>
      <c r="V2864" s="48"/>
    </row>
    <row r="2865" spans="1:22">
      <c r="A2865" s="1"/>
      <c r="B2865" s="1"/>
      <c r="D2865" s="48">
        <v>4</v>
      </c>
      <c r="E2865" s="48" t="s">
        <v>15</v>
      </c>
      <c r="F2865" s="6">
        <v>1</v>
      </c>
      <c r="P2865" s="48"/>
      <c r="Q2865" s="48"/>
      <c r="R2865" s="48"/>
      <c r="S2865" s="48"/>
      <c r="T2865" s="48"/>
      <c r="U2865" s="48"/>
      <c r="V2865" s="48"/>
    </row>
    <row r="2866" spans="1:22">
      <c r="A2866" s="1"/>
      <c r="B2866" s="1"/>
      <c r="D2866" s="48"/>
      <c r="E2866" s="48" t="s">
        <v>113</v>
      </c>
      <c r="F2866" s="6">
        <v>10</v>
      </c>
      <c r="G2866" s="50">
        <v>40</v>
      </c>
      <c r="H2866" s="50">
        <v>250</v>
      </c>
      <c r="I2866" s="50">
        <f>G2866+V2866</f>
        <v>440</v>
      </c>
      <c r="J2866" s="50">
        <f>H2866-V2867</f>
        <v>175</v>
      </c>
      <c r="K2866" s="50" t="s">
        <v>22</v>
      </c>
      <c r="L2866" s="49">
        <v>0</v>
      </c>
      <c r="M2866" s="49">
        <v>0</v>
      </c>
      <c r="N2866" s="49">
        <v>4</v>
      </c>
      <c r="O2866" s="50">
        <v>0</v>
      </c>
      <c r="P2866" s="50">
        <v>0</v>
      </c>
      <c r="Q2866" s="49">
        <v>3</v>
      </c>
      <c r="R2866" s="49">
        <v>0</v>
      </c>
      <c r="S2866" s="49">
        <v>0</v>
      </c>
      <c r="T2866" s="49">
        <v>40</v>
      </c>
      <c r="U2866" s="49">
        <v>260</v>
      </c>
      <c r="V2866" s="49">
        <v>400</v>
      </c>
    </row>
    <row r="2867" spans="1:22">
      <c r="A2867" s="1"/>
      <c r="B2867" s="1"/>
      <c r="D2867" s="49">
        <f>F2867*2+4</f>
        <v>8</v>
      </c>
      <c r="E2867" s="49" t="s">
        <v>1</v>
      </c>
      <c r="F2867" s="50">
        <v>2</v>
      </c>
      <c r="G2867" s="50">
        <f>I2867</f>
        <v>440</v>
      </c>
      <c r="H2867" s="50">
        <f>J2867+10</f>
        <v>255</v>
      </c>
      <c r="I2867" s="50">
        <f>I2866</f>
        <v>440</v>
      </c>
      <c r="J2867" s="50">
        <f>H2866-5</f>
        <v>245</v>
      </c>
      <c r="K2867" s="36" t="s">
        <v>21</v>
      </c>
      <c r="L2867" s="50"/>
      <c r="M2867" s="49"/>
      <c r="N2867" s="48"/>
      <c r="P2867" s="49"/>
      <c r="Q2867" s="50">
        <v>2</v>
      </c>
      <c r="R2867" s="49"/>
      <c r="S2867" s="49">
        <v>0</v>
      </c>
      <c r="T2867" s="49">
        <v>20</v>
      </c>
      <c r="U2867" s="49">
        <f>V2867</f>
        <v>75</v>
      </c>
      <c r="V2867" s="49">
        <v>75</v>
      </c>
    </row>
    <row r="2868" spans="1:22">
      <c r="A2868" s="1"/>
      <c r="B2868" s="1"/>
      <c r="D2868" s="49">
        <f>F2868*2+4</f>
        <v>8</v>
      </c>
      <c r="E2868" s="49" t="s">
        <v>1</v>
      </c>
      <c r="F2868" s="50">
        <v>2</v>
      </c>
      <c r="G2868" s="50">
        <f>G2866-5</f>
        <v>35</v>
      </c>
      <c r="H2868" s="50">
        <f>J2868</f>
        <v>175</v>
      </c>
      <c r="I2868" s="50">
        <f>G2868+10</f>
        <v>45</v>
      </c>
      <c r="J2868" s="50">
        <f>J2866</f>
        <v>175</v>
      </c>
      <c r="K2868" s="50"/>
      <c r="L2868" s="50"/>
      <c r="M2868" s="49"/>
      <c r="N2868" s="49"/>
      <c r="O2868" s="50"/>
      <c r="P2868" s="49"/>
      <c r="Q2868" s="6"/>
      <c r="R2868" s="49"/>
      <c r="S2868" s="49"/>
      <c r="T2868" s="49"/>
      <c r="U2868" s="49"/>
      <c r="V2868" s="48"/>
    </row>
    <row r="2869" spans="1:22">
      <c r="B2869" s="2"/>
      <c r="D2869" s="49">
        <f>ROUNDUP(6+F2869/2,0)</f>
        <v>10</v>
      </c>
      <c r="E2869" s="49" t="s">
        <v>6</v>
      </c>
      <c r="F2869" s="50">
        <f>LEN(G2869)</f>
        <v>7</v>
      </c>
      <c r="G2869" s="50" t="s">
        <v>312</v>
      </c>
      <c r="H2869" s="50">
        <f>H2867</f>
        <v>255</v>
      </c>
      <c r="I2869" s="50">
        <f>I2867-30</f>
        <v>410</v>
      </c>
      <c r="J2869" s="50"/>
      <c r="K2869" s="50"/>
      <c r="L2869" s="50"/>
      <c r="M2869" s="49"/>
      <c r="N2869" s="49"/>
      <c r="O2869" s="50"/>
      <c r="P2869" s="49"/>
      <c r="Q2869" s="50"/>
      <c r="R2869" s="49"/>
      <c r="S2869" s="49"/>
      <c r="T2869" s="49"/>
      <c r="U2869" s="49"/>
      <c r="V2869" s="48"/>
    </row>
    <row r="2870" spans="1:22">
      <c r="A2870" s="1"/>
      <c r="B2870" s="2"/>
      <c r="D2870" s="49">
        <f>ROUNDUP(6+F2870/2,0)</f>
        <v>8</v>
      </c>
      <c r="E2870" s="49" t="s">
        <v>6</v>
      </c>
      <c r="F2870" s="50">
        <f>LEN(G2870)</f>
        <v>3</v>
      </c>
      <c r="G2870" s="50" t="s">
        <v>311</v>
      </c>
      <c r="H2870" s="50">
        <f>H2868-8</f>
        <v>167</v>
      </c>
      <c r="I2870" s="50">
        <f>I2868-40</f>
        <v>5</v>
      </c>
      <c r="J2870" s="50"/>
      <c r="K2870" s="50"/>
      <c r="L2870" s="50"/>
      <c r="M2870" s="49"/>
      <c r="N2870" s="49"/>
      <c r="O2870" s="50"/>
      <c r="P2870" s="49"/>
      <c r="Q2870" s="50"/>
      <c r="R2870" s="49"/>
      <c r="S2870" s="49"/>
      <c r="T2870" s="49"/>
      <c r="U2870" s="49"/>
      <c r="V2870" s="48"/>
    </row>
    <row r="2871" spans="1:22">
      <c r="B2871" s="2"/>
      <c r="D2871" s="48"/>
      <c r="E2871" s="48" t="s">
        <v>113</v>
      </c>
      <c r="F2871" s="6">
        <v>10</v>
      </c>
      <c r="G2871" s="50">
        <f>G2866+V2866-U2871</f>
        <v>80</v>
      </c>
      <c r="H2871" s="50">
        <v>100</v>
      </c>
      <c r="I2871" s="50">
        <f>G2871+U2871</f>
        <v>440</v>
      </c>
      <c r="J2871" s="50">
        <f>H2871-U2872</f>
        <v>25</v>
      </c>
      <c r="K2871" s="50" t="s">
        <v>22</v>
      </c>
      <c r="L2871" s="49"/>
      <c r="M2871" s="49"/>
      <c r="N2871" s="49">
        <f>COUNT(S2871:CD2871)</f>
        <v>3</v>
      </c>
      <c r="O2871" s="50"/>
      <c r="P2871" s="49"/>
      <c r="Q2871" s="6">
        <v>3</v>
      </c>
      <c r="R2871" s="49"/>
      <c r="S2871" s="49">
        <v>0</v>
      </c>
      <c r="T2871" s="49">
        <v>120</v>
      </c>
      <c r="U2871" s="49">
        <v>360</v>
      </c>
      <c r="V2871" s="48"/>
    </row>
    <row r="2872" spans="1:22">
      <c r="A2872" s="2"/>
      <c r="B2872" s="2"/>
      <c r="C2872" s="2"/>
      <c r="D2872" s="49">
        <f>F2872*2+4</f>
        <v>8</v>
      </c>
      <c r="E2872" s="49" t="s">
        <v>1</v>
      </c>
      <c r="F2872" s="50">
        <v>2</v>
      </c>
      <c r="G2872" s="50">
        <f>I2872</f>
        <v>440</v>
      </c>
      <c r="H2872" s="50">
        <f>J2872+10</f>
        <v>105</v>
      </c>
      <c r="I2872" s="50">
        <f>I2871</f>
        <v>440</v>
      </c>
      <c r="J2872" s="50">
        <f>H2871-5</f>
        <v>95</v>
      </c>
      <c r="K2872" s="36" t="s">
        <v>21</v>
      </c>
      <c r="L2872" s="50"/>
      <c r="P2872" s="48"/>
      <c r="Q2872" s="50">
        <v>2</v>
      </c>
      <c r="R2872" s="49"/>
      <c r="S2872" s="49">
        <v>0</v>
      </c>
      <c r="T2872" s="49">
        <f>U2872</f>
        <v>75</v>
      </c>
      <c r="U2872" s="49">
        <v>75</v>
      </c>
      <c r="V2872" s="48"/>
    </row>
    <row r="2873" spans="1:22">
      <c r="A2873" s="2"/>
      <c r="B2873" s="2"/>
      <c r="C2873" s="2"/>
      <c r="D2873" s="49">
        <f>F2873*2+4</f>
        <v>8</v>
      </c>
      <c r="E2873" s="49" t="s">
        <v>1</v>
      </c>
      <c r="F2873" s="50">
        <v>2</v>
      </c>
      <c r="G2873" s="50">
        <f>G2871-5</f>
        <v>75</v>
      </c>
      <c r="H2873" s="50">
        <f>J2873</f>
        <v>25</v>
      </c>
      <c r="I2873" s="50">
        <f>G2873+10</f>
        <v>85</v>
      </c>
      <c r="J2873" s="50">
        <f>J2871</f>
        <v>25</v>
      </c>
      <c r="K2873" s="50"/>
      <c r="L2873" s="50"/>
      <c r="M2873" s="50"/>
      <c r="N2873" s="50"/>
      <c r="O2873" s="50"/>
      <c r="P2873" s="49"/>
      <c r="Q2873" s="49"/>
      <c r="R2873" s="49"/>
      <c r="S2873" s="49"/>
      <c r="T2873" s="48"/>
      <c r="U2873" s="48"/>
      <c r="V2873" s="48"/>
    </row>
    <row r="2874" spans="1:22">
      <c r="A2874" s="2"/>
      <c r="B2874" s="2"/>
      <c r="C2874" s="2"/>
      <c r="D2874" s="49">
        <f>ROUNDUP(6+F2874/2,0)</f>
        <v>10</v>
      </c>
      <c r="E2874" s="49" t="s">
        <v>6</v>
      </c>
      <c r="F2874" s="50">
        <f>LEN(G2874)</f>
        <v>7</v>
      </c>
      <c r="G2874" s="50" t="s">
        <v>312</v>
      </c>
      <c r="H2874" s="50">
        <f>H2872</f>
        <v>105</v>
      </c>
      <c r="I2874" s="50">
        <f>I2872-30</f>
        <v>410</v>
      </c>
      <c r="J2874" s="50"/>
      <c r="K2874" s="50"/>
      <c r="L2874" s="50"/>
      <c r="M2874" s="50"/>
      <c r="O2874" s="50"/>
      <c r="P2874" s="49"/>
      <c r="Q2874" s="49"/>
      <c r="R2874" s="49"/>
      <c r="S2874" s="49"/>
      <c r="T2874" s="48"/>
      <c r="U2874" s="48"/>
      <c r="V2874" s="48"/>
    </row>
    <row r="2875" spans="1:22">
      <c r="A2875" s="2"/>
      <c r="B2875" s="2"/>
      <c r="C2875" s="2"/>
      <c r="D2875" s="49">
        <f>ROUNDUP(6+F2875/2,0)</f>
        <v>8</v>
      </c>
      <c r="E2875" s="49" t="s">
        <v>6</v>
      </c>
      <c r="F2875" s="50">
        <f>LEN(G2875)</f>
        <v>3</v>
      </c>
      <c r="G2875" s="50" t="s">
        <v>30</v>
      </c>
      <c r="H2875" s="50">
        <f>H2873-8</f>
        <v>17</v>
      </c>
      <c r="I2875" s="50">
        <f>I2873-40</f>
        <v>45</v>
      </c>
      <c r="J2875" s="50"/>
      <c r="K2875" s="50"/>
      <c r="L2875" s="50"/>
      <c r="M2875" s="50"/>
      <c r="N2875" s="50"/>
      <c r="O2875" s="50"/>
      <c r="P2875" s="49"/>
      <c r="Q2875" s="49"/>
      <c r="R2875" s="49"/>
      <c r="S2875" s="49"/>
      <c r="T2875" s="48"/>
      <c r="U2875" s="49"/>
      <c r="V2875" s="49"/>
    </row>
    <row r="2876" spans="1:22">
      <c r="A2876" s="2"/>
      <c r="B2876" s="2"/>
      <c r="C2876" s="2"/>
      <c r="D2876" s="48">
        <v>4</v>
      </c>
      <c r="E2876" s="48" t="s">
        <v>15</v>
      </c>
      <c r="F2876" s="6">
        <v>3</v>
      </c>
      <c r="G2876" s="50"/>
      <c r="H2876" s="50"/>
      <c r="I2876" s="50"/>
      <c r="J2876" s="50"/>
      <c r="K2876" s="50"/>
      <c r="L2876" s="50"/>
      <c r="M2876" s="36"/>
      <c r="O2876" s="50"/>
      <c r="P2876" s="49"/>
      <c r="Q2876" s="49"/>
      <c r="R2876" s="49"/>
      <c r="S2876" s="49"/>
      <c r="T2876" s="48"/>
      <c r="U2876" s="49"/>
      <c r="V2876" s="49"/>
    </row>
    <row r="2877" spans="1:22">
      <c r="A2877" s="2"/>
      <c r="B2877" s="2"/>
      <c r="C2877" s="2"/>
      <c r="D2877" s="49">
        <v>64</v>
      </c>
      <c r="E2877" s="49" t="s">
        <v>114</v>
      </c>
      <c r="F2877" s="50">
        <v>10</v>
      </c>
      <c r="G2877" s="50">
        <f>G2871</f>
        <v>80</v>
      </c>
      <c r="H2877" s="50">
        <v>130</v>
      </c>
      <c r="I2877" s="50">
        <f>I2871</f>
        <v>440</v>
      </c>
      <c r="J2877" s="50">
        <f>H2877</f>
        <v>130</v>
      </c>
      <c r="K2877" s="50">
        <f>G2877+T2871</f>
        <v>200</v>
      </c>
      <c r="L2877" s="50">
        <f>J2877</f>
        <v>130</v>
      </c>
      <c r="M2877" s="50" t="s">
        <v>335</v>
      </c>
      <c r="N2877" s="50" t="s">
        <v>336</v>
      </c>
      <c r="O2877" s="50"/>
      <c r="P2877" s="49"/>
      <c r="Q2877" s="49"/>
      <c r="R2877" s="49"/>
      <c r="S2877" s="49"/>
      <c r="T2877" s="48"/>
      <c r="U2877" s="49"/>
      <c r="V2877" s="49"/>
    </row>
    <row r="2878" spans="1:22">
      <c r="B2878" s="2"/>
      <c r="D2878" s="49">
        <v>44</v>
      </c>
      <c r="E2878" s="49" t="s">
        <v>112</v>
      </c>
      <c r="F2878" s="50">
        <v>10</v>
      </c>
      <c r="G2878" s="50">
        <f>G2877</f>
        <v>80</v>
      </c>
      <c r="H2878" s="50">
        <f>H2877+25</f>
        <v>155</v>
      </c>
      <c r="I2878" s="50">
        <f>I2877</f>
        <v>440</v>
      </c>
      <c r="J2878" s="50">
        <f>H2878</f>
        <v>155</v>
      </c>
      <c r="K2878" s="50" t="s">
        <v>337</v>
      </c>
      <c r="L2878" s="50"/>
      <c r="M2878" s="50"/>
      <c r="N2878" s="50"/>
      <c r="O2878" s="50"/>
      <c r="P2878" s="49"/>
      <c r="Q2878" s="49"/>
      <c r="R2878" s="49"/>
      <c r="S2878" s="49"/>
      <c r="T2878" s="48"/>
      <c r="U2878" s="49"/>
      <c r="V2878" s="49"/>
    </row>
    <row r="2879" spans="1:22">
      <c r="B2879" s="2"/>
      <c r="D2879" s="49">
        <v>64</v>
      </c>
      <c r="E2879" s="49" t="s">
        <v>114</v>
      </c>
      <c r="F2879" s="50">
        <v>10</v>
      </c>
      <c r="G2879" s="50">
        <f>G2866</f>
        <v>40</v>
      </c>
      <c r="H2879" s="50">
        <v>280</v>
      </c>
      <c r="I2879" s="50">
        <f>I2866</f>
        <v>440</v>
      </c>
      <c r="J2879" s="50">
        <f>H2879</f>
        <v>280</v>
      </c>
      <c r="K2879" s="50">
        <f>G2879+U2866</f>
        <v>300</v>
      </c>
      <c r="L2879" s="50">
        <f>J2879</f>
        <v>280</v>
      </c>
      <c r="M2879" s="50" t="s">
        <v>341</v>
      </c>
      <c r="N2879" s="50" t="s">
        <v>339</v>
      </c>
      <c r="O2879" s="50"/>
      <c r="P2879" s="49"/>
      <c r="Q2879" s="49"/>
      <c r="R2879" s="49"/>
      <c r="S2879" s="49"/>
      <c r="T2879" s="48"/>
      <c r="U2879" s="49"/>
      <c r="V2879" s="49"/>
    </row>
    <row r="2880" spans="1:22">
      <c r="B2880" s="1"/>
      <c r="D2880" s="49">
        <v>44</v>
      </c>
      <c r="E2880" s="49" t="s">
        <v>112</v>
      </c>
      <c r="F2880" s="50">
        <v>10</v>
      </c>
      <c r="G2880" s="50">
        <f>G2879</f>
        <v>40</v>
      </c>
      <c r="H2880" s="50">
        <f>H2879+25</f>
        <v>305</v>
      </c>
      <c r="I2880" s="50">
        <f>I2879</f>
        <v>440</v>
      </c>
      <c r="J2880" s="50">
        <f>H2880</f>
        <v>305</v>
      </c>
      <c r="K2880" s="50" t="s">
        <v>340</v>
      </c>
      <c r="L2880" s="50"/>
      <c r="M2880" s="50"/>
      <c r="N2880" s="50"/>
      <c r="O2880" s="50"/>
      <c r="P2880" s="49"/>
      <c r="Q2880" s="49"/>
      <c r="R2880" s="49"/>
      <c r="S2880" s="49"/>
      <c r="T2880" s="48"/>
      <c r="U2880" s="49"/>
      <c r="V2880" s="49"/>
    </row>
    <row r="2881" spans="1:22">
      <c r="A2881" s="1"/>
      <c r="B2881" s="2"/>
      <c r="D2881" s="49">
        <f>24+(20+6)*G2881+ROUNDUP(LEN(H2881)/2,0)</f>
        <v>106</v>
      </c>
      <c r="E2881" s="49" t="s">
        <v>769</v>
      </c>
      <c r="F2881" s="49">
        <v>10</v>
      </c>
      <c r="G2881" s="49">
        <v>3</v>
      </c>
      <c r="H2881" s="50" t="s">
        <v>599</v>
      </c>
      <c r="I2881" s="50">
        <f>G2866+S2866</f>
        <v>40</v>
      </c>
      <c r="J2881" s="50">
        <v>188</v>
      </c>
      <c r="K2881" s="50">
        <f>G2866+U2866</f>
        <v>300</v>
      </c>
      <c r="L2881" s="50">
        <f>J2881</f>
        <v>188</v>
      </c>
      <c r="M2881" s="49">
        <v>40</v>
      </c>
      <c r="N2881" s="49">
        <v>160</v>
      </c>
      <c r="O2881" s="49"/>
      <c r="P2881" s="49"/>
      <c r="Q2881" s="49"/>
      <c r="R2881" s="49"/>
      <c r="S2881" s="49"/>
      <c r="T2881" s="48"/>
      <c r="U2881" s="49"/>
      <c r="V2881" s="49"/>
    </row>
    <row r="2882" spans="1:22">
      <c r="B2882" s="2"/>
      <c r="D2882" s="49">
        <v>44</v>
      </c>
      <c r="E2882" s="49" t="s">
        <v>112</v>
      </c>
      <c r="F2882" s="50">
        <v>5</v>
      </c>
      <c r="G2882" s="50">
        <f>I2881+M2881</f>
        <v>80</v>
      </c>
      <c r="H2882" s="50">
        <v>230</v>
      </c>
      <c r="I2882" s="50">
        <f>G2882</f>
        <v>80</v>
      </c>
      <c r="J2882" s="50">
        <f>H2866</f>
        <v>250</v>
      </c>
      <c r="K2882" s="50"/>
      <c r="L2882" s="50"/>
      <c r="O2882" s="50"/>
      <c r="P2882" s="49"/>
      <c r="Q2882" s="49"/>
      <c r="R2882" s="49"/>
      <c r="S2882" s="49"/>
      <c r="T2882" s="48"/>
      <c r="U2882" s="49"/>
      <c r="V2882" s="49"/>
    </row>
    <row r="2883" spans="1:22">
      <c r="B2883" s="2"/>
      <c r="D2883" s="49">
        <f>ROUNDUP(6+F2883/2,0)</f>
        <v>7</v>
      </c>
      <c r="E2883" s="49" t="s">
        <v>6</v>
      </c>
      <c r="F2883" s="50">
        <f>LEN(G2883)</f>
        <v>2</v>
      </c>
      <c r="G2883" s="50" t="s">
        <v>333</v>
      </c>
      <c r="H2883" s="50">
        <f>H2882/2+J2882/2-10</f>
        <v>230</v>
      </c>
      <c r="I2883" s="50">
        <f>I2882+5</f>
        <v>85</v>
      </c>
      <c r="J2883" s="50"/>
      <c r="K2883" s="50"/>
      <c r="L2883" s="50"/>
      <c r="M2883" s="50"/>
      <c r="N2883" s="50"/>
      <c r="O2883" s="50"/>
      <c r="P2883" s="49"/>
      <c r="Q2883" s="49"/>
      <c r="R2883" s="49"/>
      <c r="S2883" s="49"/>
      <c r="T2883" s="48"/>
      <c r="U2883" s="49"/>
      <c r="V2883" s="49"/>
    </row>
    <row r="2884" spans="1:22">
      <c r="A2884" s="2"/>
      <c r="B2884" s="2"/>
      <c r="C2884" s="2"/>
      <c r="D2884" s="49">
        <v>44</v>
      </c>
      <c r="E2884" s="49" t="s">
        <v>112</v>
      </c>
      <c r="F2884" s="50">
        <v>10</v>
      </c>
      <c r="G2884" s="50">
        <f>I2881+N2881</f>
        <v>200</v>
      </c>
      <c r="H2884" s="50">
        <v>200</v>
      </c>
      <c r="I2884" s="50">
        <f>G2884</f>
        <v>200</v>
      </c>
      <c r="J2884" s="50">
        <f>J2882</f>
        <v>250</v>
      </c>
      <c r="K2884" s="50"/>
      <c r="L2884" s="50"/>
      <c r="M2884" s="50"/>
      <c r="N2884" s="50"/>
      <c r="O2884" s="50"/>
      <c r="P2884" s="49"/>
      <c r="Q2884" s="49"/>
      <c r="R2884" s="49"/>
      <c r="S2884" s="49"/>
      <c r="T2884" s="48"/>
      <c r="U2884" s="49"/>
      <c r="V2884" s="49"/>
    </row>
    <row r="2885" spans="1:22">
      <c r="A2885" s="2"/>
      <c r="B2885" s="2"/>
      <c r="C2885" s="2"/>
      <c r="D2885" s="49">
        <f>ROUNDUP(6+F2885/2,0)</f>
        <v>7</v>
      </c>
      <c r="E2885" s="49" t="s">
        <v>6</v>
      </c>
      <c r="F2885" s="50">
        <f>LEN(G2885)</f>
        <v>2</v>
      </c>
      <c r="G2885" s="50" t="s">
        <v>344</v>
      </c>
      <c r="H2885" s="50">
        <f>H2884/2+J2884/2-10</f>
        <v>215</v>
      </c>
      <c r="I2885" s="50">
        <f>I2884+5</f>
        <v>205</v>
      </c>
      <c r="J2885" s="50"/>
      <c r="K2885" s="50"/>
      <c r="L2885" s="50"/>
      <c r="M2885" s="50"/>
      <c r="N2885" s="50"/>
      <c r="O2885" s="50"/>
      <c r="P2885" s="49"/>
      <c r="Q2885" s="49"/>
      <c r="R2885" s="49"/>
      <c r="S2885" s="49"/>
      <c r="T2885" s="48"/>
      <c r="U2885" s="49"/>
      <c r="V2885" s="49"/>
    </row>
    <row r="2886" spans="1:22">
      <c r="A2886" s="2"/>
      <c r="B2886" s="2"/>
      <c r="C2886" s="2"/>
      <c r="D2886" s="48">
        <v>4</v>
      </c>
      <c r="E2886" s="48" t="s">
        <v>15</v>
      </c>
      <c r="F2886" s="6">
        <v>2</v>
      </c>
      <c r="G2886" s="50"/>
      <c r="H2886" s="50"/>
      <c r="I2886" s="50"/>
      <c r="J2886" s="50"/>
      <c r="K2886" s="50"/>
      <c r="L2886" s="50"/>
      <c r="M2886" s="50"/>
      <c r="N2886" s="50"/>
      <c r="O2886" s="50"/>
      <c r="P2886" s="49"/>
      <c r="Q2886" s="49"/>
      <c r="R2886" s="49"/>
      <c r="S2886" s="49"/>
      <c r="T2886" s="49"/>
      <c r="U2886" s="49"/>
      <c r="V2886" s="49"/>
    </row>
    <row r="2887" spans="1:22">
      <c r="A2887" s="2"/>
      <c r="B2887" s="2"/>
      <c r="C2887" s="2"/>
      <c r="D2887" s="49">
        <v>7</v>
      </c>
      <c r="E2887" s="49" t="s">
        <v>0</v>
      </c>
      <c r="F2887" s="50">
        <f>H2866-T2867-2</f>
        <v>228</v>
      </c>
      <c r="G2887" s="50">
        <f>G2866+T2866-2</f>
        <v>78</v>
      </c>
      <c r="H2887" s="50">
        <f t="shared" ref="H2887:I2889" si="159">F2887+5</f>
        <v>233</v>
      </c>
      <c r="I2887" s="50">
        <f t="shared" si="159"/>
        <v>83</v>
      </c>
      <c r="J2887" s="50"/>
      <c r="K2887" s="50"/>
      <c r="L2887" s="50"/>
      <c r="M2887" s="50"/>
      <c r="N2887" s="50"/>
      <c r="O2887" s="50"/>
      <c r="P2887" s="49"/>
      <c r="Q2887" s="49"/>
      <c r="R2887" s="49"/>
      <c r="S2887" s="49"/>
      <c r="T2887" s="49"/>
      <c r="U2887" s="49"/>
      <c r="V2887" s="49"/>
    </row>
    <row r="2888" spans="1:22">
      <c r="A2888" s="2"/>
      <c r="B2888" s="2"/>
      <c r="C2888" s="2"/>
      <c r="D2888" s="49">
        <v>7</v>
      </c>
      <c r="E2888" s="49" t="s">
        <v>0</v>
      </c>
      <c r="F2888" s="50">
        <f>H2866-U2867-2</f>
        <v>173</v>
      </c>
      <c r="G2888" s="50">
        <f>G2866+U2866-2</f>
        <v>298</v>
      </c>
      <c r="H2888" s="50">
        <f t="shared" si="159"/>
        <v>178</v>
      </c>
      <c r="I2888" s="50">
        <f t="shared" si="159"/>
        <v>303</v>
      </c>
      <c r="J2888" s="50"/>
      <c r="K2888" s="50"/>
      <c r="L2888" s="50"/>
      <c r="M2888" s="50"/>
      <c r="N2888" s="50"/>
      <c r="O2888" s="50"/>
      <c r="P2888" s="49"/>
      <c r="Q2888" s="49"/>
      <c r="R2888" s="49"/>
      <c r="S2888" s="49"/>
      <c r="T2888" s="49"/>
      <c r="U2888" s="49"/>
      <c r="V2888" s="49"/>
    </row>
    <row r="2889" spans="1:22">
      <c r="A2889" s="2"/>
      <c r="B2889" s="2"/>
      <c r="C2889" s="2"/>
      <c r="D2889" s="49">
        <v>7</v>
      </c>
      <c r="E2889" s="49" t="s">
        <v>0</v>
      </c>
      <c r="F2889" s="50">
        <v>198</v>
      </c>
      <c r="G2889" s="50">
        <v>198</v>
      </c>
      <c r="H2889" s="50">
        <f t="shared" si="159"/>
        <v>203</v>
      </c>
      <c r="I2889" s="50">
        <f t="shared" si="159"/>
        <v>203</v>
      </c>
      <c r="J2889" s="50"/>
      <c r="K2889" s="50"/>
      <c r="L2889" s="50"/>
      <c r="M2889" s="50"/>
      <c r="N2889" s="50"/>
      <c r="O2889" s="50"/>
      <c r="P2889" s="49"/>
      <c r="Q2889" s="49"/>
      <c r="R2889" s="49"/>
      <c r="S2889" s="49"/>
      <c r="T2889" s="49"/>
      <c r="U2889" s="49"/>
      <c r="V2889" s="49"/>
    </row>
    <row r="2890" spans="1:22">
      <c r="A2890" s="2"/>
      <c r="B2890" s="2" t="s">
        <v>342</v>
      </c>
      <c r="C2890" s="2">
        <v>200</v>
      </c>
      <c r="D2890" s="49">
        <f>ROUNDUP(6+F2890/2,0)</f>
        <v>7</v>
      </c>
      <c r="E2890" s="49" t="s">
        <v>6</v>
      </c>
      <c r="F2890" s="50">
        <f>LEN(G2890)</f>
        <v>2</v>
      </c>
      <c r="G2890" s="50" t="s">
        <v>130</v>
      </c>
      <c r="H2890" s="50">
        <f>H2887-20</f>
        <v>213</v>
      </c>
      <c r="I2890" s="50">
        <f>I2887-10</f>
        <v>73</v>
      </c>
      <c r="J2890" s="50"/>
      <c r="K2890" s="50"/>
      <c r="L2890" s="50"/>
      <c r="O2890" s="50"/>
      <c r="P2890" s="49"/>
      <c r="Q2890" s="49"/>
      <c r="R2890" s="49"/>
      <c r="S2890" s="49"/>
      <c r="T2890" s="49"/>
      <c r="U2890" s="49"/>
      <c r="V2890" s="49"/>
    </row>
    <row r="2891" spans="1:22">
      <c r="A2891" s="2"/>
      <c r="B2891" s="2" t="s">
        <v>343</v>
      </c>
      <c r="C2891" s="2"/>
      <c r="D2891" s="49">
        <f>ROUNDUP(6+F2891/2,0)</f>
        <v>7</v>
      </c>
      <c r="E2891" s="49" t="s">
        <v>6</v>
      </c>
      <c r="F2891" s="50">
        <f>LEN(G2891)</f>
        <v>2</v>
      </c>
      <c r="G2891" s="50" t="s">
        <v>131</v>
      </c>
      <c r="H2891" s="50">
        <f>H2888</f>
        <v>178</v>
      </c>
      <c r="I2891" s="50">
        <f>I2888</f>
        <v>303</v>
      </c>
      <c r="J2891" s="50"/>
      <c r="K2891" s="50"/>
      <c r="L2891" s="50"/>
      <c r="O2891" s="50"/>
      <c r="P2891" s="49"/>
      <c r="Q2891" s="49"/>
      <c r="R2891" s="49"/>
      <c r="S2891" s="49"/>
      <c r="T2891" s="49"/>
      <c r="U2891" s="49"/>
      <c r="V2891" s="49"/>
    </row>
    <row r="2892" spans="1:22">
      <c r="A2892" s="2"/>
      <c r="B2892" s="2"/>
      <c r="C2892" s="2"/>
      <c r="D2892" s="49">
        <f>ROUNDUP(6+F2892/2,0)</f>
        <v>7</v>
      </c>
      <c r="E2892" s="49" t="s">
        <v>6</v>
      </c>
      <c r="F2892" s="50">
        <f>LEN(G2892)</f>
        <v>2</v>
      </c>
      <c r="G2892" s="50" t="s">
        <v>285</v>
      </c>
      <c r="H2892" s="50">
        <f>H2889-15</f>
        <v>188</v>
      </c>
      <c r="I2892" s="50">
        <f>I2889-30</f>
        <v>173</v>
      </c>
      <c r="J2892" s="50"/>
      <c r="K2892" s="50"/>
      <c r="L2892" s="50"/>
      <c r="M2892" s="50"/>
      <c r="N2892" s="50"/>
      <c r="O2892" s="50"/>
      <c r="P2892" s="49"/>
      <c r="Q2892" s="49"/>
      <c r="R2892" s="49"/>
      <c r="S2892" s="49"/>
      <c r="T2892" s="49"/>
      <c r="U2892" s="49"/>
      <c r="V2892" s="49"/>
    </row>
    <row r="2893" spans="1:22">
      <c r="A2893" s="2"/>
      <c r="B2893" s="2"/>
      <c r="C2893" s="2"/>
      <c r="D2893" s="48">
        <v>28</v>
      </c>
      <c r="E2893" s="48" t="s">
        <v>12</v>
      </c>
      <c r="F2893" s="6">
        <v>24</v>
      </c>
      <c r="G2893" s="6">
        <v>0</v>
      </c>
      <c r="H2893" s="6">
        <v>0</v>
      </c>
      <c r="I2893" s="6">
        <v>0</v>
      </c>
      <c r="J2893" s="6">
        <v>700</v>
      </c>
      <c r="K2893" s="6">
        <v>0</v>
      </c>
      <c r="L2893" s="6">
        <v>0</v>
      </c>
      <c r="M2893" s="6">
        <v>0</v>
      </c>
      <c r="N2893" s="6">
        <v>0</v>
      </c>
      <c r="O2893" s="6" t="s">
        <v>19</v>
      </c>
      <c r="P2893" s="49"/>
      <c r="Q2893" s="49"/>
      <c r="R2893" s="49"/>
      <c r="S2893" s="49"/>
      <c r="T2893" s="49"/>
      <c r="U2893" s="49"/>
      <c r="V2893" s="49"/>
    </row>
    <row r="2894" spans="1:22">
      <c r="A2894" s="2"/>
      <c r="B2894" s="2"/>
      <c r="C2894" s="2"/>
      <c r="D2894" s="48">
        <v>4</v>
      </c>
      <c r="E2894" s="48" t="s">
        <v>15</v>
      </c>
      <c r="F2894" s="6">
        <v>4</v>
      </c>
      <c r="O2894" s="50"/>
      <c r="P2894" s="49"/>
      <c r="Q2894" s="49"/>
      <c r="R2894" s="49"/>
      <c r="S2894" s="49"/>
      <c r="T2894" s="49"/>
      <c r="U2894" s="49"/>
      <c r="V2894" s="49"/>
    </row>
    <row r="2895" spans="1:22">
      <c r="A2895" s="2"/>
      <c r="B2895" s="2"/>
      <c r="C2895" s="2"/>
      <c r="D2895" s="49">
        <f>ROUNDUP(6+F2895/2,0)</f>
        <v>7</v>
      </c>
      <c r="E2895" s="49" t="s">
        <v>6</v>
      </c>
      <c r="F2895" s="50">
        <f>LEN(G2895)</f>
        <v>1</v>
      </c>
      <c r="G2895" s="50" t="s">
        <v>21</v>
      </c>
      <c r="H2895" s="50">
        <f>H2874-30</f>
        <v>75</v>
      </c>
      <c r="I2895" s="50">
        <f>I2874-15</f>
        <v>395</v>
      </c>
      <c r="J2895" s="50"/>
      <c r="K2895" s="50"/>
      <c r="L2895" s="50"/>
      <c r="M2895" s="50"/>
      <c r="N2895" s="50"/>
      <c r="O2895" s="50"/>
      <c r="P2895" s="49"/>
      <c r="Q2895" s="49"/>
      <c r="R2895" s="49"/>
      <c r="S2895" s="49"/>
      <c r="T2895" s="49"/>
      <c r="U2895" s="49"/>
      <c r="V2895" s="49"/>
    </row>
    <row r="2896" spans="1:22">
      <c r="A2896" s="2"/>
      <c r="B2896" s="2"/>
      <c r="C2896" s="2"/>
      <c r="D2896" s="49">
        <f>ROUNDUP(6+F2896/2,0)</f>
        <v>7</v>
      </c>
      <c r="E2896" s="49" t="s">
        <v>6</v>
      </c>
      <c r="F2896" s="50">
        <f>LEN(G2896)</f>
        <v>1</v>
      </c>
      <c r="G2896" s="50" t="s">
        <v>320</v>
      </c>
      <c r="H2896" s="50">
        <f>H2869-30</f>
        <v>225</v>
      </c>
      <c r="I2896" s="50">
        <f>I2869-15</f>
        <v>395</v>
      </c>
      <c r="J2896" s="50"/>
      <c r="K2896" s="50"/>
      <c r="L2896" s="50"/>
      <c r="M2896" s="50"/>
      <c r="N2896" s="50"/>
      <c r="O2896" s="50"/>
      <c r="P2896" s="49"/>
      <c r="Q2896" s="49"/>
      <c r="R2896" s="49"/>
      <c r="S2896" s="49"/>
      <c r="T2896" s="49"/>
      <c r="U2896" s="49"/>
      <c r="V2896" s="49"/>
    </row>
    <row r="2900" spans="1:16">
      <c r="A2900" s="48" t="s">
        <v>383</v>
      </c>
      <c r="B2900" s="1" t="s">
        <v>776</v>
      </c>
      <c r="C2900" s="48"/>
      <c r="D2900" s="48" t="s">
        <v>449</v>
      </c>
      <c r="E2900" s="48">
        <v>52695</v>
      </c>
      <c r="F2900" s="6">
        <v>39622</v>
      </c>
      <c r="G2900" s="6">
        <v>0</v>
      </c>
      <c r="H2900" s="6">
        <v>0</v>
      </c>
      <c r="I2900" s="6">
        <v>0</v>
      </c>
      <c r="J2900" s="6">
        <v>480</v>
      </c>
      <c r="K2900" s="6">
        <v>290</v>
      </c>
      <c r="L2900" s="6">
        <v>96</v>
      </c>
      <c r="M2900" s="6">
        <v>0</v>
      </c>
      <c r="N2900" s="6">
        <v>0</v>
      </c>
      <c r="O2900" s="6" t="e">
        <f ca="1">checksummeint(G2900,H2900,I2900,J2900,K2900,L2900,M2900,N2900)</f>
        <v>#NAME?</v>
      </c>
    </row>
    <row r="2901" spans="1:16">
      <c r="B2901" s="48"/>
      <c r="C2901" s="48"/>
      <c r="D2901" s="48">
        <v>28</v>
      </c>
      <c r="E2901" s="48" t="s">
        <v>12</v>
      </c>
      <c r="F2901" s="6">
        <v>18</v>
      </c>
      <c r="G2901" s="6">
        <v>0</v>
      </c>
      <c r="H2901" s="6">
        <v>0</v>
      </c>
      <c r="I2901" s="6">
        <v>0</v>
      </c>
      <c r="J2901" s="6">
        <v>400</v>
      </c>
      <c r="K2901" s="6">
        <v>0</v>
      </c>
      <c r="L2901" s="6">
        <v>0</v>
      </c>
      <c r="M2901" s="6">
        <v>0</v>
      </c>
      <c r="N2901" s="6">
        <v>0</v>
      </c>
      <c r="O2901" s="6" t="s">
        <v>19</v>
      </c>
    </row>
    <row r="2902" spans="1:16">
      <c r="A2902" s="1"/>
      <c r="B2902" s="48"/>
      <c r="C2902" s="48"/>
      <c r="D2902" s="48">
        <v>28</v>
      </c>
      <c r="E2902" s="48" t="s">
        <v>12</v>
      </c>
      <c r="F2902" s="6">
        <v>18</v>
      </c>
      <c r="G2902" s="6">
        <v>0</v>
      </c>
      <c r="H2902" s="6">
        <v>900</v>
      </c>
      <c r="I2902" s="6">
        <v>0</v>
      </c>
      <c r="J2902" s="6">
        <v>400</v>
      </c>
      <c r="K2902" s="6">
        <v>0</v>
      </c>
      <c r="L2902" s="6">
        <v>0</v>
      </c>
      <c r="M2902" s="6">
        <v>0</v>
      </c>
      <c r="N2902" s="6">
        <v>0</v>
      </c>
      <c r="O2902" s="6" t="s">
        <v>19</v>
      </c>
    </row>
    <row r="2903" spans="1:16">
      <c r="A2903" s="1"/>
      <c r="B2903" s="48"/>
      <c r="C2903" s="48"/>
      <c r="D2903" s="48">
        <v>28</v>
      </c>
      <c r="E2903" s="48" t="s">
        <v>12</v>
      </c>
      <c r="F2903" s="6">
        <v>24</v>
      </c>
      <c r="G2903" s="6">
        <v>0</v>
      </c>
      <c r="H2903" s="6">
        <v>0</v>
      </c>
      <c r="I2903" s="6">
        <v>0</v>
      </c>
      <c r="J2903" s="6">
        <v>700</v>
      </c>
      <c r="K2903" s="6">
        <v>0</v>
      </c>
      <c r="L2903" s="6">
        <v>0</v>
      </c>
      <c r="M2903" s="6">
        <v>0</v>
      </c>
      <c r="N2903" s="6">
        <v>0</v>
      </c>
      <c r="O2903" s="6" t="s">
        <v>19</v>
      </c>
    </row>
    <row r="2904" spans="1:16">
      <c r="A2904" s="48"/>
      <c r="B2904" s="48"/>
      <c r="C2904" s="48"/>
      <c r="D2904" s="48">
        <v>5</v>
      </c>
      <c r="E2904" s="48" t="s">
        <v>59</v>
      </c>
      <c r="F2904" s="6">
        <v>1</v>
      </c>
      <c r="G2904" s="6">
        <v>0</v>
      </c>
    </row>
    <row r="2905" spans="1:16">
      <c r="A2905" s="48"/>
      <c r="B2905" s="48"/>
      <c r="C2905" s="48"/>
      <c r="D2905" s="48">
        <v>8</v>
      </c>
      <c r="E2905" s="48" t="s">
        <v>14</v>
      </c>
      <c r="F2905" s="6">
        <v>0</v>
      </c>
      <c r="G2905" s="6">
        <v>1</v>
      </c>
      <c r="H2905" s="6">
        <v>0</v>
      </c>
      <c r="I2905" s="6">
        <v>0</v>
      </c>
      <c r="J2905" s="6">
        <v>0</v>
      </c>
      <c r="M2905" s="44"/>
      <c r="N2905" s="45"/>
      <c r="O2905" s="46"/>
    </row>
    <row r="2906" spans="1:16">
      <c r="A2906" s="48"/>
      <c r="B2906" s="48"/>
      <c r="C2906" s="48"/>
      <c r="D2906" s="48">
        <v>7</v>
      </c>
      <c r="E2906" s="48" t="s">
        <v>11</v>
      </c>
      <c r="F2906" s="6">
        <v>0</v>
      </c>
      <c r="G2906" s="50">
        <f>255*256+192</f>
        <v>65472</v>
      </c>
      <c r="H2906" s="50">
        <v>192</v>
      </c>
      <c r="I2906" s="6">
        <v>0</v>
      </c>
    </row>
    <row r="2907" spans="1:16">
      <c r="A2907" s="48"/>
      <c r="B2907" s="48"/>
      <c r="C2907" s="48"/>
      <c r="D2907" s="48">
        <v>7</v>
      </c>
      <c r="E2907" s="48" t="s">
        <v>11</v>
      </c>
      <c r="F2907" s="6">
        <v>0</v>
      </c>
      <c r="G2907" s="6">
        <v>0</v>
      </c>
      <c r="H2907" s="6">
        <v>0</v>
      </c>
      <c r="I2907" s="6">
        <v>0</v>
      </c>
    </row>
    <row r="2908" spans="1:16">
      <c r="A2908" s="1"/>
      <c r="B2908" s="1"/>
      <c r="C2908" s="48"/>
      <c r="D2908" s="48">
        <v>4</v>
      </c>
      <c r="E2908" s="48" t="s">
        <v>15</v>
      </c>
      <c r="F2908" s="6">
        <v>0</v>
      </c>
      <c r="G2908" s="50"/>
    </row>
    <row r="2909" spans="1:16">
      <c r="A2909" s="1"/>
      <c r="B2909" s="1"/>
      <c r="C2909" s="48"/>
      <c r="D2909" s="48">
        <v>4</v>
      </c>
      <c r="E2909" s="48" t="s">
        <v>15</v>
      </c>
      <c r="F2909" s="6">
        <v>3</v>
      </c>
    </row>
    <row r="2910" spans="1:16">
      <c r="A2910" s="1"/>
      <c r="B2910" s="1" t="s">
        <v>347</v>
      </c>
      <c r="C2910" s="48" t="s">
        <v>346</v>
      </c>
      <c r="D2910" s="48">
        <v>4</v>
      </c>
      <c r="E2910" s="48" t="s">
        <v>15</v>
      </c>
      <c r="F2910" s="6">
        <v>4</v>
      </c>
      <c r="G2910" s="50"/>
      <c r="K2910" s="50"/>
      <c r="L2910" s="50"/>
    </row>
    <row r="2911" spans="1:16">
      <c r="A2911" s="48" t="s">
        <v>17</v>
      </c>
      <c r="B2911" s="1">
        <v>75</v>
      </c>
      <c r="C2911" s="48">
        <v>290</v>
      </c>
      <c r="D2911" s="49">
        <v>7</v>
      </c>
      <c r="E2911" s="49" t="s">
        <v>5</v>
      </c>
      <c r="F2911" s="50">
        <f>H2911-B2911</f>
        <v>176</v>
      </c>
      <c r="G2911" s="50">
        <f>I2911-C2911</f>
        <v>151</v>
      </c>
      <c r="H2911" s="50">
        <v>251</v>
      </c>
      <c r="I2911" s="50">
        <v>441</v>
      </c>
      <c r="J2911" s="50"/>
      <c r="K2911" s="50"/>
      <c r="L2911" s="50"/>
      <c r="M2911" s="50"/>
      <c r="N2911" s="50"/>
      <c r="O2911" s="50"/>
      <c r="P2911" s="2"/>
    </row>
    <row r="2912" spans="1:16">
      <c r="A2912" s="48"/>
      <c r="B2912" s="1">
        <v>75</v>
      </c>
      <c r="C2912" s="48">
        <v>70</v>
      </c>
      <c r="D2912" s="49">
        <f>F2912*2+4</f>
        <v>12</v>
      </c>
      <c r="E2912" s="49" t="s">
        <v>4</v>
      </c>
      <c r="F2912" s="50">
        <v>4</v>
      </c>
      <c r="G2912" s="6">
        <f>G2911-15</f>
        <v>136</v>
      </c>
      <c r="H2912" s="6">
        <f>H2911-1</f>
        <v>250</v>
      </c>
      <c r="I2912" s="50">
        <f>G2912-C2912</f>
        <v>66</v>
      </c>
      <c r="J2912" s="6">
        <f>H2912</f>
        <v>250</v>
      </c>
      <c r="K2912" s="50">
        <f>I2912</f>
        <v>66</v>
      </c>
      <c r="L2912" s="50">
        <f>J2912-40</f>
        <v>210</v>
      </c>
      <c r="M2912" s="6">
        <f>G2912</f>
        <v>136</v>
      </c>
      <c r="N2912" s="6">
        <f>J2912-B2912</f>
        <v>175</v>
      </c>
      <c r="O2912" s="50"/>
      <c r="P2912" s="2"/>
    </row>
    <row r="2913" spans="1:16">
      <c r="A2913" s="48"/>
      <c r="B2913" s="1">
        <v>40</v>
      </c>
      <c r="C2913" s="48">
        <v>40</v>
      </c>
      <c r="D2913" s="49">
        <f>F2913*2+4</f>
        <v>10</v>
      </c>
      <c r="E2913" s="49" t="s">
        <v>4</v>
      </c>
      <c r="F2913" s="50">
        <v>3</v>
      </c>
      <c r="G2913" s="6">
        <f>I2912-16</f>
        <v>50</v>
      </c>
      <c r="H2913" s="6">
        <f>H2912</f>
        <v>250</v>
      </c>
      <c r="I2913" s="50">
        <f>G2913-C2913</f>
        <v>10</v>
      </c>
      <c r="J2913" s="6">
        <f>H2913</f>
        <v>250</v>
      </c>
      <c r="K2913" s="6">
        <f>G2913</f>
        <v>50</v>
      </c>
      <c r="L2913" s="6">
        <f>J2913-B2913</f>
        <v>210</v>
      </c>
      <c r="M2913" s="50"/>
      <c r="N2913" s="50"/>
      <c r="O2913" s="50"/>
      <c r="P2913" s="2"/>
    </row>
    <row r="2914" spans="1:16">
      <c r="A2914" s="49" t="s">
        <v>16</v>
      </c>
      <c r="B2914" s="3">
        <v>75</v>
      </c>
      <c r="C2914" s="49">
        <v>200</v>
      </c>
      <c r="D2914" s="49">
        <v>7</v>
      </c>
      <c r="E2914" s="49" t="s">
        <v>5</v>
      </c>
      <c r="F2914" s="50">
        <f>H2914-B2914</f>
        <v>26</v>
      </c>
      <c r="G2914" s="50">
        <f>I2914-C2914</f>
        <v>241</v>
      </c>
      <c r="H2914" s="50">
        <v>101</v>
      </c>
      <c r="I2914" s="50">
        <v>441</v>
      </c>
      <c r="J2914" s="50"/>
      <c r="K2914" s="50"/>
      <c r="L2914" s="50"/>
      <c r="M2914" s="50"/>
      <c r="N2914" s="50"/>
      <c r="O2914" s="50"/>
      <c r="P2914" s="2"/>
    </row>
    <row r="2915" spans="1:16">
      <c r="A2915" s="49"/>
      <c r="B2915" s="3">
        <v>75</v>
      </c>
      <c r="C2915" s="49">
        <v>160</v>
      </c>
      <c r="D2915" s="49">
        <f>F2915*2+4</f>
        <v>10</v>
      </c>
      <c r="E2915" s="49" t="s">
        <v>4</v>
      </c>
      <c r="F2915" s="50">
        <v>3</v>
      </c>
      <c r="G2915" s="6">
        <f>G2914-15</f>
        <v>226</v>
      </c>
      <c r="H2915" s="6">
        <f>H2914-1</f>
        <v>100</v>
      </c>
      <c r="I2915" s="50">
        <f>G2915-C2915</f>
        <v>66</v>
      </c>
      <c r="J2915" s="6">
        <f>H2915</f>
        <v>100</v>
      </c>
      <c r="K2915" s="6">
        <f>G2915</f>
        <v>226</v>
      </c>
      <c r="L2915" s="6">
        <f>J2915-B2915</f>
        <v>25</v>
      </c>
      <c r="M2915" s="50"/>
      <c r="N2915" s="50"/>
      <c r="O2915" s="50"/>
      <c r="P2915" s="2"/>
    </row>
    <row r="2916" spans="1:16">
      <c r="A2916" s="49"/>
      <c r="B2916" s="3"/>
      <c r="C2916" s="49"/>
      <c r="D2916" s="48">
        <v>4</v>
      </c>
      <c r="E2916" s="48" t="s">
        <v>15</v>
      </c>
      <c r="F2916" s="6">
        <v>5</v>
      </c>
      <c r="G2916" s="36"/>
      <c r="H2916" s="50"/>
      <c r="I2916" s="50"/>
      <c r="J2916" s="50"/>
      <c r="K2916" s="50"/>
      <c r="L2916" s="50"/>
      <c r="M2916" s="50"/>
      <c r="N2916" s="50"/>
      <c r="O2916" s="50"/>
      <c r="P2916" s="2"/>
    </row>
    <row r="2917" spans="1:16">
      <c r="A2917" s="49"/>
      <c r="B2917" s="3"/>
      <c r="C2917" s="49"/>
      <c r="D2917" s="49">
        <v>44</v>
      </c>
      <c r="E2917" s="49" t="s">
        <v>112</v>
      </c>
      <c r="F2917" s="50">
        <v>10</v>
      </c>
      <c r="G2917" s="50">
        <f>I2912</f>
        <v>66</v>
      </c>
      <c r="H2917" s="50">
        <f>J2912+25</f>
        <v>275</v>
      </c>
      <c r="I2917" s="50">
        <f>M2912</f>
        <v>136</v>
      </c>
      <c r="J2917" s="50">
        <f>H2917</f>
        <v>275</v>
      </c>
      <c r="K2917" s="50" t="s">
        <v>332</v>
      </c>
      <c r="L2917" s="50"/>
      <c r="M2917" s="50"/>
      <c r="N2917" s="50"/>
      <c r="O2917" s="50"/>
      <c r="P2917" s="2"/>
    </row>
    <row r="2918" spans="1:16">
      <c r="A2918" s="49"/>
      <c r="B2918" s="3"/>
      <c r="C2918" s="49"/>
      <c r="D2918" s="49">
        <v>44</v>
      </c>
      <c r="E2918" s="49" t="s">
        <v>112</v>
      </c>
      <c r="F2918" s="50">
        <v>10</v>
      </c>
      <c r="G2918" s="50">
        <f>I2913</f>
        <v>10</v>
      </c>
      <c r="H2918" s="50">
        <f>J2913+25</f>
        <v>275</v>
      </c>
      <c r="I2918" s="50">
        <f>K2913</f>
        <v>50</v>
      </c>
      <c r="J2918" s="50">
        <f>H2918</f>
        <v>275</v>
      </c>
      <c r="K2918" s="50" t="s">
        <v>331</v>
      </c>
      <c r="L2918" s="50"/>
      <c r="M2918" s="50"/>
      <c r="N2918" s="50"/>
      <c r="O2918" s="50"/>
      <c r="P2918" s="2"/>
    </row>
    <row r="2919" spans="1:16">
      <c r="A2919" s="49"/>
      <c r="B2919" s="49"/>
      <c r="C2919" s="49"/>
      <c r="D2919" s="49">
        <v>44</v>
      </c>
      <c r="E2919" s="49" t="s">
        <v>112</v>
      </c>
      <c r="F2919" s="50">
        <v>10</v>
      </c>
      <c r="G2919" s="50">
        <f>G2911</f>
        <v>151</v>
      </c>
      <c r="H2919" s="50">
        <f>H2911+24</f>
        <v>275</v>
      </c>
      <c r="I2919" s="50">
        <f>I2911-1</f>
        <v>440</v>
      </c>
      <c r="J2919" s="50">
        <f>H2919</f>
        <v>275</v>
      </c>
      <c r="K2919" s="50" t="s">
        <v>319</v>
      </c>
      <c r="L2919" s="50"/>
      <c r="M2919" s="50"/>
      <c r="N2919" s="50"/>
      <c r="O2919" s="50"/>
      <c r="P2919" s="2"/>
    </row>
    <row r="2920" spans="1:16">
      <c r="A2920" s="49"/>
      <c r="B2920" s="49"/>
      <c r="C2920" s="49"/>
      <c r="D2920" s="49">
        <v>44</v>
      </c>
      <c r="E2920" s="49" t="s">
        <v>112</v>
      </c>
      <c r="F2920" s="50">
        <v>10</v>
      </c>
      <c r="G2920" s="50">
        <f>I2915</f>
        <v>66</v>
      </c>
      <c r="H2920" s="50">
        <f>J2915+25</f>
        <v>125</v>
      </c>
      <c r="I2920" s="50">
        <f>K2915</f>
        <v>226</v>
      </c>
      <c r="J2920" s="50">
        <f>H2920</f>
        <v>125</v>
      </c>
      <c r="K2920" s="50" t="s">
        <v>316</v>
      </c>
      <c r="L2920" s="50"/>
      <c r="M2920" s="50"/>
      <c r="N2920" s="50"/>
      <c r="O2920" s="50"/>
      <c r="P2920" s="2"/>
    </row>
    <row r="2921" spans="1:16">
      <c r="A2921" s="49"/>
      <c r="B2921" s="49"/>
      <c r="C2921" s="49"/>
      <c r="D2921" s="49">
        <v>44</v>
      </c>
      <c r="E2921" s="49" t="s">
        <v>112</v>
      </c>
      <c r="F2921" s="50">
        <v>10</v>
      </c>
      <c r="G2921" s="50">
        <f>G2914</f>
        <v>241</v>
      </c>
      <c r="H2921" s="50">
        <f>H2914+24</f>
        <v>125</v>
      </c>
      <c r="I2921" s="50">
        <f>I2914-1</f>
        <v>440</v>
      </c>
      <c r="J2921" s="50">
        <f>H2921</f>
        <v>125</v>
      </c>
      <c r="K2921" s="50" t="s">
        <v>317</v>
      </c>
      <c r="L2921" s="50"/>
      <c r="M2921" s="50"/>
      <c r="N2921" s="50"/>
      <c r="O2921" s="50"/>
      <c r="P2921" s="2"/>
    </row>
    <row r="2922" spans="1:16">
      <c r="A2922" s="49"/>
      <c r="B2922" s="49"/>
      <c r="C2922" s="49"/>
      <c r="D2922" s="49">
        <f>ROUNDUP(6+F2922/2,0)</f>
        <v>26</v>
      </c>
      <c r="E2922" s="49" t="s">
        <v>6</v>
      </c>
      <c r="F2922" s="50">
        <f>LEN(G2922)</f>
        <v>39</v>
      </c>
      <c r="G2922" s="50" t="s">
        <v>345</v>
      </c>
      <c r="H2922" s="50">
        <v>1</v>
      </c>
      <c r="I2922" s="50">
        <v>1</v>
      </c>
      <c r="J2922" s="50"/>
      <c r="K2922" s="50"/>
      <c r="L2922" s="50"/>
      <c r="M2922" s="50"/>
      <c r="N2922" s="50"/>
      <c r="O2922" s="50"/>
      <c r="P2922" s="2"/>
    </row>
    <row r="2923" spans="1:16">
      <c r="A2923" s="49"/>
      <c r="B2923" s="49"/>
      <c r="C2923" s="49"/>
      <c r="D2923" s="48">
        <v>4</v>
      </c>
      <c r="E2923" s="48" t="s">
        <v>15</v>
      </c>
      <c r="F2923" s="6">
        <v>1</v>
      </c>
      <c r="G2923" s="50"/>
      <c r="H2923" s="50"/>
      <c r="I2923" s="50"/>
      <c r="J2923" s="50"/>
      <c r="K2923" s="50"/>
      <c r="L2923" s="50"/>
      <c r="M2923" s="50"/>
      <c r="N2923" s="50"/>
      <c r="O2923" s="50"/>
      <c r="P2923" s="2"/>
    </row>
    <row r="2924" spans="1:16">
      <c r="A2924" s="49"/>
      <c r="B2924" s="49"/>
      <c r="C2924" s="49"/>
      <c r="D2924" s="49">
        <v>44</v>
      </c>
      <c r="E2924" s="49" t="s">
        <v>112</v>
      </c>
      <c r="F2924" s="50">
        <v>10</v>
      </c>
      <c r="G2924" s="50">
        <f>I2911+24</f>
        <v>465</v>
      </c>
      <c r="H2924" s="50">
        <f>H2911-1</f>
        <v>250</v>
      </c>
      <c r="I2924" s="50">
        <f>G2924</f>
        <v>465</v>
      </c>
      <c r="J2924" s="50">
        <f>F2911</f>
        <v>176</v>
      </c>
      <c r="K2924" s="50" t="s">
        <v>30</v>
      </c>
      <c r="L2924" s="49"/>
      <c r="M2924" s="50"/>
      <c r="N2924" s="50"/>
      <c r="O2924" s="50"/>
      <c r="P2924" s="2"/>
    </row>
    <row r="2925" spans="1:16">
      <c r="A2925" s="48"/>
      <c r="B2925" s="48"/>
      <c r="C2925" s="48"/>
      <c r="D2925" s="49">
        <v>44</v>
      </c>
      <c r="E2925" s="49" t="s">
        <v>112</v>
      </c>
      <c r="F2925" s="50">
        <v>10</v>
      </c>
      <c r="G2925" s="50">
        <f>I2914+24</f>
        <v>465</v>
      </c>
      <c r="H2925" s="50">
        <f>H2914-1</f>
        <v>100</v>
      </c>
      <c r="I2925" s="50">
        <f>G2925</f>
        <v>465</v>
      </c>
      <c r="J2925" s="50">
        <f>F2914</f>
        <v>26</v>
      </c>
      <c r="K2925" s="50" t="s">
        <v>311</v>
      </c>
      <c r="L2925" s="49"/>
      <c r="O2925" s="50"/>
      <c r="P2925" s="2"/>
    </row>
    <row r="2926" spans="1:16">
      <c r="A2926" s="49"/>
      <c r="B2926" s="49"/>
      <c r="C2926" s="49"/>
      <c r="D2926" s="49">
        <v>44</v>
      </c>
      <c r="E2926" s="49" t="s">
        <v>112</v>
      </c>
      <c r="F2926" s="50">
        <v>10</v>
      </c>
      <c r="G2926" s="50">
        <f>K2912-7</f>
        <v>59</v>
      </c>
      <c r="H2926" s="50">
        <f>H2912</f>
        <v>250</v>
      </c>
      <c r="I2926" s="50">
        <f>G2926</f>
        <v>59</v>
      </c>
      <c r="J2926" s="50">
        <f>L2912</f>
        <v>210</v>
      </c>
      <c r="K2926" s="50"/>
      <c r="L2926" s="50"/>
      <c r="M2926" s="50"/>
      <c r="N2926" s="50"/>
      <c r="O2926" s="50"/>
      <c r="P2926" s="2"/>
    </row>
    <row r="2927" spans="1:16">
      <c r="A2927" s="49"/>
      <c r="B2927" s="49"/>
      <c r="C2927" s="49"/>
      <c r="D2927" s="49">
        <f>ROUNDUP(6+F2927/2,0)</f>
        <v>7</v>
      </c>
      <c r="E2927" s="49" t="s">
        <v>6</v>
      </c>
      <c r="F2927" s="50">
        <f>LEN(G2927)</f>
        <v>2</v>
      </c>
      <c r="G2927" s="50" t="s">
        <v>333</v>
      </c>
      <c r="H2927" s="50">
        <f>H2926/2+J2926/2+10</f>
        <v>240</v>
      </c>
      <c r="I2927" s="50">
        <f>I2926+7</f>
        <v>66</v>
      </c>
      <c r="J2927" s="50"/>
      <c r="K2927" s="50"/>
      <c r="L2927" s="50"/>
      <c r="M2927" s="50"/>
      <c r="N2927" s="50"/>
      <c r="O2927" s="50"/>
      <c r="P2927" s="2"/>
    </row>
    <row r="2928" spans="1:16">
      <c r="A2928" s="49"/>
      <c r="B2928" s="49"/>
      <c r="C2928" s="49"/>
      <c r="D2928" s="48">
        <v>4</v>
      </c>
      <c r="E2928" s="48" t="s">
        <v>15</v>
      </c>
      <c r="F2928" s="6">
        <v>2</v>
      </c>
      <c r="G2928" s="50"/>
      <c r="H2928" s="50"/>
      <c r="I2928" s="50"/>
      <c r="J2928" s="50"/>
      <c r="K2928" s="50"/>
      <c r="L2928" s="50"/>
      <c r="M2928" s="50"/>
      <c r="N2928" s="50"/>
      <c r="O2928" s="50"/>
      <c r="P2928" s="2"/>
    </row>
    <row r="2929" spans="1:16">
      <c r="A2929" s="49"/>
      <c r="B2929" s="49"/>
      <c r="C2929" s="49"/>
      <c r="D2929" s="49">
        <f>ROUNDUP(6+F2929/2,0)</f>
        <v>8</v>
      </c>
      <c r="E2929" s="49" t="s">
        <v>6</v>
      </c>
      <c r="F2929" s="50">
        <f>LEN(G2929)</f>
        <v>4</v>
      </c>
      <c r="G2929" s="50" t="s">
        <v>348</v>
      </c>
      <c r="H2929" s="50">
        <v>190</v>
      </c>
      <c r="I2929" s="50">
        <v>10</v>
      </c>
      <c r="J2929" s="50"/>
      <c r="K2929" s="50"/>
      <c r="L2929" s="50"/>
      <c r="M2929" s="50"/>
      <c r="N2929" s="50"/>
      <c r="O2929" s="50"/>
      <c r="P2929" s="2"/>
    </row>
    <row r="2930" spans="1:16">
      <c r="A2930" s="49"/>
      <c r="B2930" s="49"/>
      <c r="C2930" s="49"/>
      <c r="D2930" s="49">
        <f>ROUNDUP(6+F2930/2,0)</f>
        <v>8</v>
      </c>
      <c r="E2930" s="49" t="s">
        <v>6</v>
      </c>
      <c r="F2930" s="50">
        <f>LEN(G2930)</f>
        <v>4</v>
      </c>
      <c r="G2930" s="50" t="s">
        <v>349</v>
      </c>
      <c r="H2930" s="50">
        <v>160</v>
      </c>
      <c r="I2930" s="50">
        <v>80</v>
      </c>
      <c r="J2930" s="50"/>
      <c r="K2930" s="50"/>
      <c r="L2930" s="50"/>
      <c r="M2930" s="50"/>
      <c r="N2930" s="50"/>
      <c r="O2930" s="50"/>
      <c r="P2930" s="2"/>
    </row>
    <row r="2931" spans="1:16">
      <c r="A2931" s="49"/>
      <c r="B2931" s="49"/>
      <c r="C2931" s="49"/>
      <c r="D2931" s="49">
        <f>ROUNDUP(6+F2931/2,0)</f>
        <v>8</v>
      </c>
      <c r="E2931" s="49" t="s">
        <v>6</v>
      </c>
      <c r="F2931" s="50">
        <f>LEN(G2931)</f>
        <v>3</v>
      </c>
      <c r="G2931" s="50" t="s">
        <v>324</v>
      </c>
      <c r="H2931" s="50">
        <v>225</v>
      </c>
      <c r="I2931" s="50">
        <v>390</v>
      </c>
      <c r="J2931" s="50"/>
      <c r="K2931" s="50"/>
      <c r="L2931" s="50"/>
      <c r="M2931" s="50"/>
      <c r="N2931" s="50"/>
      <c r="O2931" s="50"/>
      <c r="P2931" s="2"/>
    </row>
    <row r="2932" spans="1:16">
      <c r="A2932" s="49"/>
      <c r="B2932" s="7"/>
      <c r="C2932" s="49"/>
      <c r="D2932" s="49">
        <f>ROUNDUP(6+F2932/2,0)</f>
        <v>8</v>
      </c>
      <c r="E2932" s="49" t="s">
        <v>6</v>
      </c>
      <c r="F2932" s="50">
        <f>LEN(G2932)</f>
        <v>3</v>
      </c>
      <c r="G2932" s="50" t="s">
        <v>325</v>
      </c>
      <c r="H2932" s="50">
        <v>75</v>
      </c>
      <c r="I2932" s="50">
        <v>390</v>
      </c>
      <c r="J2932" s="50"/>
      <c r="K2932" s="50"/>
      <c r="L2932" s="50"/>
      <c r="M2932" s="50"/>
      <c r="N2932" s="50"/>
      <c r="O2932" s="50"/>
      <c r="P2932" s="2"/>
    </row>
    <row r="2933" spans="1:16">
      <c r="A2933" s="49"/>
      <c r="B2933" s="49"/>
      <c r="C2933" s="49"/>
      <c r="D2933" s="49">
        <f>ROUNDUP(6+F2933/2,0)</f>
        <v>8</v>
      </c>
      <c r="E2933" s="49" t="s">
        <v>6</v>
      </c>
      <c r="F2933" s="50">
        <f>LEN(G2933)</f>
        <v>3</v>
      </c>
      <c r="G2933" s="50" t="s">
        <v>322</v>
      </c>
      <c r="H2933" s="50">
        <v>75</v>
      </c>
      <c r="I2933" s="50">
        <v>180</v>
      </c>
      <c r="J2933" s="50"/>
      <c r="K2933" s="50"/>
      <c r="L2933" s="50"/>
      <c r="M2933" s="50"/>
      <c r="N2933" s="50"/>
      <c r="O2933" s="50"/>
      <c r="P2933" s="2"/>
    </row>
    <row r="2936" spans="1:16">
      <c r="A2936" s="48" t="s">
        <v>383</v>
      </c>
      <c r="B2936" s="1" t="s">
        <v>777</v>
      </c>
      <c r="C2936" s="48"/>
      <c r="D2936" s="48" t="s">
        <v>449</v>
      </c>
      <c r="E2936" s="48">
        <v>52695</v>
      </c>
      <c r="F2936" s="6">
        <v>39622</v>
      </c>
      <c r="G2936" s="6">
        <v>0</v>
      </c>
      <c r="H2936" s="6">
        <v>0</v>
      </c>
      <c r="I2936" s="6">
        <v>0</v>
      </c>
      <c r="J2936" s="6">
        <v>500</v>
      </c>
      <c r="K2936" s="6">
        <v>290</v>
      </c>
      <c r="L2936" s="6">
        <v>96</v>
      </c>
      <c r="M2936" s="6">
        <v>0</v>
      </c>
      <c r="N2936" s="6">
        <v>0</v>
      </c>
      <c r="O2936" s="6" t="e">
        <f ca="1">checksummeint(G2936,H2936,I2936,J2936,K2936,L2936,M2936,N2936)</f>
        <v>#NAME?</v>
      </c>
    </row>
    <row r="2937" spans="1:16">
      <c r="B2937" s="48"/>
      <c r="C2937" s="48"/>
      <c r="D2937" s="48">
        <v>28</v>
      </c>
      <c r="E2937" s="48" t="s">
        <v>12</v>
      </c>
      <c r="F2937" s="6">
        <v>18</v>
      </c>
      <c r="G2937" s="6">
        <v>0</v>
      </c>
      <c r="H2937" s="6">
        <v>0</v>
      </c>
      <c r="I2937" s="6">
        <v>0</v>
      </c>
      <c r="J2937" s="6">
        <v>400</v>
      </c>
      <c r="K2937" s="6">
        <v>0</v>
      </c>
      <c r="L2937" s="6">
        <v>0</v>
      </c>
      <c r="M2937" s="6">
        <v>0</v>
      </c>
      <c r="N2937" s="6">
        <v>0</v>
      </c>
      <c r="O2937" s="6" t="s">
        <v>19</v>
      </c>
    </row>
    <row r="2938" spans="1:16">
      <c r="A2938" s="1"/>
      <c r="B2938" s="48"/>
      <c r="C2938" s="48"/>
      <c r="D2938" s="48">
        <v>28</v>
      </c>
      <c r="E2938" s="48" t="s">
        <v>12</v>
      </c>
      <c r="F2938" s="6">
        <v>18</v>
      </c>
      <c r="G2938" s="6">
        <v>0</v>
      </c>
      <c r="H2938" s="6">
        <v>900</v>
      </c>
      <c r="I2938" s="6">
        <v>0</v>
      </c>
      <c r="J2938" s="6">
        <v>400</v>
      </c>
      <c r="K2938" s="6">
        <v>0</v>
      </c>
      <c r="L2938" s="6">
        <v>0</v>
      </c>
      <c r="M2938" s="6">
        <v>0</v>
      </c>
      <c r="N2938" s="6">
        <v>0</v>
      </c>
      <c r="O2938" s="6" t="s">
        <v>19</v>
      </c>
    </row>
    <row r="2939" spans="1:16">
      <c r="A2939" s="1"/>
      <c r="B2939" s="48"/>
      <c r="C2939" s="48"/>
      <c r="D2939" s="48">
        <v>28</v>
      </c>
      <c r="E2939" s="48" t="s">
        <v>12</v>
      </c>
      <c r="F2939" s="6">
        <v>24</v>
      </c>
      <c r="G2939" s="6">
        <v>0</v>
      </c>
      <c r="H2939" s="6">
        <v>0</v>
      </c>
      <c r="I2939" s="6">
        <v>0</v>
      </c>
      <c r="J2939" s="6">
        <v>700</v>
      </c>
      <c r="K2939" s="6">
        <v>0</v>
      </c>
      <c r="L2939" s="6">
        <v>0</v>
      </c>
      <c r="M2939" s="6">
        <v>0</v>
      </c>
      <c r="N2939" s="6">
        <v>0</v>
      </c>
      <c r="O2939" s="6" t="s">
        <v>19</v>
      </c>
    </row>
    <row r="2940" spans="1:16">
      <c r="A2940" s="48"/>
      <c r="B2940" s="48"/>
      <c r="C2940" s="48"/>
      <c r="D2940" s="48">
        <v>5</v>
      </c>
      <c r="E2940" s="48" t="s">
        <v>59</v>
      </c>
      <c r="F2940" s="6">
        <v>1</v>
      </c>
      <c r="G2940" s="6">
        <v>0</v>
      </c>
    </row>
    <row r="2941" spans="1:16">
      <c r="A2941" s="48"/>
      <c r="B2941" s="48"/>
      <c r="C2941" s="48"/>
      <c r="D2941" s="48">
        <v>8</v>
      </c>
      <c r="E2941" s="48" t="s">
        <v>14</v>
      </c>
      <c r="F2941" s="6">
        <v>0</v>
      </c>
      <c r="G2941" s="6">
        <v>1</v>
      </c>
      <c r="H2941" s="6">
        <v>0</v>
      </c>
      <c r="I2941" s="6">
        <v>0</v>
      </c>
      <c r="J2941" s="6">
        <v>0</v>
      </c>
      <c r="M2941" s="44"/>
      <c r="N2941" s="45"/>
      <c r="O2941" s="46"/>
    </row>
    <row r="2942" spans="1:16">
      <c r="A2942" s="48"/>
      <c r="B2942" s="48"/>
      <c r="C2942" s="48"/>
      <c r="D2942" s="48">
        <v>7</v>
      </c>
      <c r="E2942" s="48" t="s">
        <v>11</v>
      </c>
      <c r="F2942" s="6">
        <v>0</v>
      </c>
      <c r="G2942" s="50">
        <f>255*256+192</f>
        <v>65472</v>
      </c>
      <c r="H2942" s="50">
        <v>192</v>
      </c>
      <c r="I2942" s="6">
        <v>0</v>
      </c>
    </row>
    <row r="2943" spans="1:16">
      <c r="A2943" s="48"/>
      <c r="B2943" s="48"/>
      <c r="C2943" s="48"/>
      <c r="D2943" s="48">
        <v>7</v>
      </c>
      <c r="E2943" s="48" t="s">
        <v>11</v>
      </c>
      <c r="F2943" s="6">
        <v>0</v>
      </c>
      <c r="G2943" s="6">
        <v>0</v>
      </c>
      <c r="H2943" s="6">
        <v>0</v>
      </c>
      <c r="I2943" s="6">
        <v>0</v>
      </c>
    </row>
    <row r="2944" spans="1:16">
      <c r="A2944" s="1"/>
      <c r="B2944" s="1"/>
      <c r="C2944" s="48"/>
      <c r="D2944" s="48">
        <v>4</v>
      </c>
      <c r="E2944" s="48" t="s">
        <v>15</v>
      </c>
      <c r="F2944" s="6">
        <v>0</v>
      </c>
      <c r="G2944" s="50"/>
    </row>
    <row r="2945" spans="1:16">
      <c r="A2945" s="1"/>
      <c r="B2945" s="1"/>
      <c r="C2945" s="48"/>
      <c r="D2945" s="48">
        <v>4</v>
      </c>
      <c r="E2945" s="48" t="s">
        <v>15</v>
      </c>
      <c r="F2945" s="6">
        <v>3</v>
      </c>
    </row>
    <row r="2946" spans="1:16">
      <c r="A2946" s="1"/>
      <c r="B2946" s="1" t="s">
        <v>347</v>
      </c>
      <c r="C2946" s="48" t="s">
        <v>346</v>
      </c>
      <c r="D2946" s="48">
        <v>4</v>
      </c>
      <c r="E2946" s="48" t="s">
        <v>15</v>
      </c>
      <c r="F2946" s="6">
        <v>4</v>
      </c>
      <c r="G2946" s="50"/>
      <c r="K2946" s="50"/>
      <c r="L2946" s="50"/>
    </row>
    <row r="2947" spans="1:16">
      <c r="A2947" s="48" t="s">
        <v>17</v>
      </c>
      <c r="B2947" s="1">
        <v>75</v>
      </c>
      <c r="C2947" s="48">
        <v>140</v>
      </c>
      <c r="D2947" s="49">
        <v>7</v>
      </c>
      <c r="E2947" s="49" t="s">
        <v>5</v>
      </c>
      <c r="F2947" s="50">
        <f>H2947-B2947</f>
        <v>176</v>
      </c>
      <c r="G2947" s="50">
        <f>I2947-C2947</f>
        <v>321</v>
      </c>
      <c r="H2947" s="50">
        <v>251</v>
      </c>
      <c r="I2947" s="50">
        <v>461</v>
      </c>
      <c r="J2947" s="50"/>
      <c r="K2947" s="50"/>
      <c r="L2947" s="50"/>
      <c r="M2947" s="50"/>
      <c r="N2947" s="50"/>
      <c r="O2947" s="50"/>
      <c r="P2947" s="2"/>
    </row>
    <row r="2948" spans="1:16">
      <c r="A2948" s="48"/>
      <c r="B2948" s="1">
        <v>75</v>
      </c>
      <c r="C2948" s="48">
        <v>100</v>
      </c>
      <c r="D2948" s="49">
        <f>F2948*2+4</f>
        <v>12</v>
      </c>
      <c r="E2948" s="49" t="s">
        <v>4</v>
      </c>
      <c r="F2948" s="50">
        <v>4</v>
      </c>
      <c r="G2948" s="6">
        <f>G2947-15</f>
        <v>306</v>
      </c>
      <c r="H2948" s="6">
        <f>H2947-1</f>
        <v>250</v>
      </c>
      <c r="I2948" s="50">
        <f>G2948-C2948</f>
        <v>206</v>
      </c>
      <c r="J2948" s="6">
        <f>H2948</f>
        <v>250</v>
      </c>
      <c r="K2948" s="50">
        <f>I2948</f>
        <v>206</v>
      </c>
      <c r="L2948" s="50">
        <f>J2948-50</f>
        <v>200</v>
      </c>
      <c r="M2948" s="6">
        <f>G2948</f>
        <v>306</v>
      </c>
      <c r="N2948" s="6">
        <f>J2948-B2948</f>
        <v>175</v>
      </c>
      <c r="O2948" s="50"/>
      <c r="P2948" s="2"/>
    </row>
    <row r="2949" spans="1:16">
      <c r="A2949" s="48"/>
      <c r="B2949" s="1">
        <v>50</v>
      </c>
      <c r="C2949" s="48">
        <v>120</v>
      </c>
      <c r="D2949" s="49">
        <f>F2949*2+4</f>
        <v>12</v>
      </c>
      <c r="E2949" s="49" t="s">
        <v>4</v>
      </c>
      <c r="F2949" s="50">
        <v>4</v>
      </c>
      <c r="G2949" s="6">
        <f>I2948-15</f>
        <v>191</v>
      </c>
      <c r="H2949" s="6">
        <f>H2948</f>
        <v>250</v>
      </c>
      <c r="I2949" s="50">
        <f>G2949-C2949</f>
        <v>71</v>
      </c>
      <c r="J2949" s="6">
        <f>H2949</f>
        <v>250</v>
      </c>
      <c r="K2949" s="50">
        <f>I2949</f>
        <v>71</v>
      </c>
      <c r="L2949" s="50">
        <f>J2949-20</f>
        <v>230</v>
      </c>
      <c r="M2949" s="6">
        <f>G2949</f>
        <v>191</v>
      </c>
      <c r="N2949" s="6">
        <f>J2949-B2949</f>
        <v>200</v>
      </c>
      <c r="O2949" s="50"/>
      <c r="P2949" s="2"/>
    </row>
    <row r="2950" spans="1:16">
      <c r="A2950" s="48"/>
      <c r="B2950" s="1">
        <v>20</v>
      </c>
      <c r="C2950" s="48">
        <v>40</v>
      </c>
      <c r="D2950" s="49">
        <f>F2950*2+4</f>
        <v>10</v>
      </c>
      <c r="E2950" s="49" t="s">
        <v>4</v>
      </c>
      <c r="F2950" s="50">
        <v>3</v>
      </c>
      <c r="G2950" s="6">
        <f>I2949-16</f>
        <v>55</v>
      </c>
      <c r="H2950" s="6">
        <f>H2948</f>
        <v>250</v>
      </c>
      <c r="I2950" s="50">
        <f>G2950-C2950</f>
        <v>15</v>
      </c>
      <c r="J2950" s="6">
        <f>H2950</f>
        <v>250</v>
      </c>
      <c r="K2950" s="6">
        <f>G2950</f>
        <v>55</v>
      </c>
      <c r="L2950" s="6">
        <f>J2950-B2950</f>
        <v>230</v>
      </c>
      <c r="M2950" s="50"/>
      <c r="N2950" s="50"/>
      <c r="O2950" s="50"/>
      <c r="P2950" s="2"/>
    </row>
    <row r="2951" spans="1:16">
      <c r="A2951" s="49" t="s">
        <v>16</v>
      </c>
      <c r="B2951" s="3">
        <v>75</v>
      </c>
      <c r="C2951" s="49">
        <v>240</v>
      </c>
      <c r="D2951" s="49">
        <v>7</v>
      </c>
      <c r="E2951" s="49" t="s">
        <v>5</v>
      </c>
      <c r="F2951" s="50">
        <f>H2951-B2951</f>
        <v>26</v>
      </c>
      <c r="G2951" s="50">
        <f>I2951-C2951</f>
        <v>201</v>
      </c>
      <c r="H2951" s="50">
        <v>101</v>
      </c>
      <c r="I2951" s="50">
        <v>441</v>
      </c>
      <c r="J2951" s="50"/>
      <c r="K2951" s="50"/>
      <c r="L2951" s="50"/>
      <c r="M2951" s="50"/>
      <c r="N2951" s="50"/>
      <c r="O2951" s="50"/>
      <c r="P2951" s="2"/>
    </row>
    <row r="2952" spans="1:16">
      <c r="A2952" s="49"/>
      <c r="B2952" s="3">
        <v>75</v>
      </c>
      <c r="C2952" s="49">
        <v>120</v>
      </c>
      <c r="D2952" s="49">
        <f>F2952*2+4</f>
        <v>10</v>
      </c>
      <c r="E2952" s="49" t="s">
        <v>4</v>
      </c>
      <c r="F2952" s="50">
        <v>3</v>
      </c>
      <c r="G2952" s="6">
        <f>G2951-15</f>
        <v>186</v>
      </c>
      <c r="H2952" s="6">
        <f>H2951-1</f>
        <v>100</v>
      </c>
      <c r="I2952" s="50">
        <f>G2952-C2952</f>
        <v>66</v>
      </c>
      <c r="J2952" s="6">
        <f>H2952</f>
        <v>100</v>
      </c>
      <c r="K2952" s="6">
        <f>G2952</f>
        <v>186</v>
      </c>
      <c r="L2952" s="6">
        <f>J2952-B2952</f>
        <v>25</v>
      </c>
      <c r="M2952" s="50"/>
      <c r="N2952" s="50"/>
      <c r="O2952" s="50"/>
      <c r="P2952" s="2"/>
    </row>
    <row r="2953" spans="1:16">
      <c r="A2953" s="49"/>
      <c r="B2953" s="3"/>
      <c r="C2953" s="49"/>
      <c r="D2953" s="48">
        <v>4</v>
      </c>
      <c r="E2953" s="48" t="s">
        <v>15</v>
      </c>
      <c r="F2953" s="6">
        <v>5</v>
      </c>
      <c r="G2953" s="36"/>
      <c r="H2953" s="50"/>
      <c r="I2953" s="50"/>
      <c r="J2953" s="50"/>
      <c r="K2953" s="50"/>
      <c r="L2953" s="50"/>
      <c r="M2953" s="50"/>
      <c r="N2953" s="50"/>
      <c r="O2953" s="50"/>
      <c r="P2953" s="2"/>
    </row>
    <row r="2954" spans="1:16">
      <c r="A2954" s="49"/>
      <c r="B2954" s="3"/>
      <c r="C2954" s="49"/>
      <c r="D2954" s="49">
        <v>44</v>
      </c>
      <c r="E2954" s="49" t="s">
        <v>112</v>
      </c>
      <c r="F2954" s="50">
        <v>10</v>
      </c>
      <c r="G2954" s="50">
        <f>I2948</f>
        <v>206</v>
      </c>
      <c r="H2954" s="50">
        <f>J2948+25</f>
        <v>275</v>
      </c>
      <c r="I2954" s="50">
        <f>M2948</f>
        <v>306</v>
      </c>
      <c r="J2954" s="50">
        <f t="shared" ref="J2954:J2959" si="160">H2954</f>
        <v>275</v>
      </c>
      <c r="K2954" s="36" t="s">
        <v>770</v>
      </c>
      <c r="L2954" s="50"/>
      <c r="M2954" s="50"/>
      <c r="N2954" s="50"/>
      <c r="O2954" s="50"/>
      <c r="P2954" s="2"/>
    </row>
    <row r="2955" spans="1:16">
      <c r="A2955" s="49"/>
      <c r="B2955" s="3"/>
      <c r="C2955" s="49"/>
      <c r="D2955" s="49">
        <v>44</v>
      </c>
      <c r="E2955" s="49" t="s">
        <v>112</v>
      </c>
      <c r="F2955" s="50">
        <v>10</v>
      </c>
      <c r="G2955" s="50">
        <f>I2949</f>
        <v>71</v>
      </c>
      <c r="H2955" s="50">
        <f>J2949+25</f>
        <v>275</v>
      </c>
      <c r="I2955" s="50">
        <f>M2949</f>
        <v>191</v>
      </c>
      <c r="J2955" s="50">
        <f t="shared" si="160"/>
        <v>275</v>
      </c>
      <c r="K2955" s="36" t="s">
        <v>332</v>
      </c>
      <c r="L2955" s="50"/>
      <c r="M2955" s="50"/>
      <c r="N2955" s="50"/>
      <c r="O2955" s="50"/>
      <c r="P2955" s="2"/>
    </row>
    <row r="2956" spans="1:16">
      <c r="A2956" s="49"/>
      <c r="B2956" s="3"/>
      <c r="C2956" s="49"/>
      <c r="D2956" s="49">
        <v>44</v>
      </c>
      <c r="E2956" s="49" t="s">
        <v>112</v>
      </c>
      <c r="F2956" s="50">
        <v>10</v>
      </c>
      <c r="G2956" s="50">
        <f>I2950</f>
        <v>15</v>
      </c>
      <c r="H2956" s="50">
        <f>J2950+25</f>
        <v>275</v>
      </c>
      <c r="I2956" s="50">
        <f>K2950</f>
        <v>55</v>
      </c>
      <c r="J2956" s="50">
        <f t="shared" si="160"/>
        <v>275</v>
      </c>
      <c r="K2956" s="36" t="s">
        <v>331</v>
      </c>
      <c r="L2956" s="50"/>
      <c r="M2956" s="50"/>
      <c r="N2956" s="50"/>
      <c r="O2956" s="50"/>
      <c r="P2956" s="2"/>
    </row>
    <row r="2957" spans="1:16">
      <c r="A2957" s="49"/>
      <c r="B2957" s="49"/>
      <c r="C2957" s="49"/>
      <c r="D2957" s="49">
        <v>44</v>
      </c>
      <c r="E2957" s="49" t="s">
        <v>112</v>
      </c>
      <c r="F2957" s="50">
        <v>10</v>
      </c>
      <c r="G2957" s="50">
        <f>G2947</f>
        <v>321</v>
      </c>
      <c r="H2957" s="50">
        <f>H2947+24</f>
        <v>275</v>
      </c>
      <c r="I2957" s="50">
        <f>I2947-1</f>
        <v>460</v>
      </c>
      <c r="J2957" s="50">
        <f t="shared" si="160"/>
        <v>275</v>
      </c>
      <c r="K2957" s="59" t="s">
        <v>319</v>
      </c>
      <c r="L2957" s="50"/>
      <c r="M2957" s="50"/>
      <c r="N2957" s="50"/>
      <c r="O2957" s="50"/>
      <c r="P2957" s="2"/>
    </row>
    <row r="2958" spans="1:16">
      <c r="A2958" s="49"/>
      <c r="B2958" s="49"/>
      <c r="C2958" s="49"/>
      <c r="D2958" s="49">
        <v>44</v>
      </c>
      <c r="E2958" s="49" t="s">
        <v>112</v>
      </c>
      <c r="F2958" s="50">
        <v>10</v>
      </c>
      <c r="G2958" s="50">
        <f>I2952</f>
        <v>66</v>
      </c>
      <c r="H2958" s="50">
        <f>J2952+25</f>
        <v>125</v>
      </c>
      <c r="I2958" s="50">
        <f>K2952</f>
        <v>186</v>
      </c>
      <c r="J2958" s="50">
        <f t="shared" si="160"/>
        <v>125</v>
      </c>
      <c r="K2958" s="50" t="s">
        <v>316</v>
      </c>
      <c r="L2958" s="50"/>
      <c r="M2958" s="50"/>
      <c r="N2958" s="50"/>
      <c r="O2958" s="50"/>
      <c r="P2958" s="2"/>
    </row>
    <row r="2959" spans="1:16">
      <c r="A2959" s="49"/>
      <c r="B2959" s="49"/>
      <c r="C2959" s="49"/>
      <c r="D2959" s="49">
        <v>44</v>
      </c>
      <c r="E2959" s="49" t="s">
        <v>112</v>
      </c>
      <c r="F2959" s="50">
        <v>10</v>
      </c>
      <c r="G2959" s="50">
        <f>G2951</f>
        <v>201</v>
      </c>
      <c r="H2959" s="50">
        <f>H2951+24</f>
        <v>125</v>
      </c>
      <c r="I2959" s="50">
        <f>I2951-1</f>
        <v>440</v>
      </c>
      <c r="J2959" s="50">
        <f t="shared" si="160"/>
        <v>125</v>
      </c>
      <c r="K2959" s="50" t="s">
        <v>317</v>
      </c>
      <c r="L2959" s="50"/>
      <c r="M2959" s="50"/>
      <c r="N2959" s="50"/>
      <c r="O2959" s="50"/>
      <c r="P2959" s="2"/>
    </row>
    <row r="2960" spans="1:16">
      <c r="A2960" s="49"/>
      <c r="B2960" s="49"/>
      <c r="C2960" s="49"/>
      <c r="D2960" s="49">
        <f>ROUNDUP(6+F2960/2,0)</f>
        <v>26</v>
      </c>
      <c r="E2960" s="49" t="s">
        <v>6</v>
      </c>
      <c r="F2960" s="50">
        <f>LEN(G2960)</f>
        <v>39</v>
      </c>
      <c r="G2960" s="50" t="s">
        <v>345</v>
      </c>
      <c r="H2960" s="50">
        <v>1</v>
      </c>
      <c r="I2960" s="50">
        <v>1</v>
      </c>
      <c r="J2960" s="50"/>
      <c r="K2960" s="50"/>
      <c r="L2960" s="50"/>
      <c r="M2960" s="50"/>
      <c r="N2960" s="50"/>
      <c r="O2960" s="50"/>
      <c r="P2960" s="2"/>
    </row>
    <row r="2961" spans="1:16">
      <c r="A2961" s="49"/>
      <c r="B2961" s="49"/>
      <c r="C2961" s="49"/>
      <c r="D2961" s="48">
        <v>4</v>
      </c>
      <c r="E2961" s="48" t="s">
        <v>15</v>
      </c>
      <c r="F2961" s="6">
        <v>1</v>
      </c>
      <c r="G2961" s="50"/>
      <c r="H2961" s="50"/>
      <c r="I2961" s="50"/>
      <c r="J2961" s="50"/>
      <c r="K2961" s="50"/>
      <c r="L2961" s="50"/>
      <c r="M2961" s="50"/>
      <c r="N2961" s="50"/>
      <c r="O2961" s="50"/>
      <c r="P2961" s="2"/>
    </row>
    <row r="2962" spans="1:16">
      <c r="A2962" s="49"/>
      <c r="B2962" s="49"/>
      <c r="C2962" s="49"/>
      <c r="D2962" s="49">
        <v>44</v>
      </c>
      <c r="E2962" s="49" t="s">
        <v>112</v>
      </c>
      <c r="F2962" s="50">
        <v>10</v>
      </c>
      <c r="G2962" s="50">
        <f>I2947+24</f>
        <v>485</v>
      </c>
      <c r="H2962" s="50">
        <f>H2947-1</f>
        <v>250</v>
      </c>
      <c r="I2962" s="50">
        <f>G2962</f>
        <v>485</v>
      </c>
      <c r="J2962" s="50">
        <f>F2947</f>
        <v>176</v>
      </c>
      <c r="K2962" s="50" t="s">
        <v>30</v>
      </c>
      <c r="L2962" s="49"/>
      <c r="M2962" s="50"/>
      <c r="N2962" s="50"/>
      <c r="O2962" s="50"/>
      <c r="P2962" s="2"/>
    </row>
    <row r="2963" spans="1:16">
      <c r="A2963" s="48"/>
      <c r="B2963" s="48"/>
      <c r="C2963" s="48"/>
      <c r="D2963" s="49">
        <v>44</v>
      </c>
      <c r="E2963" s="49" t="s">
        <v>112</v>
      </c>
      <c r="F2963" s="50">
        <v>10</v>
      </c>
      <c r="G2963" s="50">
        <f>I2951+24</f>
        <v>465</v>
      </c>
      <c r="H2963" s="50">
        <f>H2951-1</f>
        <v>100</v>
      </c>
      <c r="I2963" s="50">
        <f>G2963</f>
        <v>465</v>
      </c>
      <c r="J2963" s="50">
        <f>F2951</f>
        <v>26</v>
      </c>
      <c r="K2963" s="50" t="s">
        <v>311</v>
      </c>
      <c r="L2963" s="49"/>
      <c r="O2963" s="50"/>
      <c r="P2963" s="2"/>
    </row>
    <row r="2964" spans="1:16">
      <c r="A2964" s="49"/>
      <c r="B2964" s="49"/>
      <c r="C2964" s="49"/>
      <c r="D2964" s="49">
        <v>44</v>
      </c>
      <c r="E2964" s="49" t="s">
        <v>112</v>
      </c>
      <c r="F2964" s="50">
        <v>10</v>
      </c>
      <c r="G2964" s="50">
        <f>K2948-7</f>
        <v>199</v>
      </c>
      <c r="H2964" s="50">
        <f>H2948</f>
        <v>250</v>
      </c>
      <c r="I2964" s="50">
        <f>G2964</f>
        <v>199</v>
      </c>
      <c r="J2964" s="50">
        <f>L2948</f>
        <v>200</v>
      </c>
      <c r="K2964" s="50"/>
      <c r="L2964" s="50"/>
      <c r="M2964" s="50"/>
      <c r="N2964" s="50"/>
      <c r="O2964" s="50"/>
      <c r="P2964" s="2"/>
    </row>
    <row r="2965" spans="1:16">
      <c r="A2965" s="49"/>
      <c r="B2965" s="49"/>
      <c r="C2965" s="49"/>
      <c r="D2965" s="49">
        <v>44</v>
      </c>
      <c r="E2965" s="49" t="s">
        <v>112</v>
      </c>
      <c r="F2965" s="50">
        <v>5</v>
      </c>
      <c r="G2965" s="50">
        <f>K2949-7</f>
        <v>64</v>
      </c>
      <c r="H2965" s="50">
        <f>H2949</f>
        <v>250</v>
      </c>
      <c r="I2965" s="50">
        <f>G2965</f>
        <v>64</v>
      </c>
      <c r="J2965" s="50">
        <f>L2949</f>
        <v>230</v>
      </c>
      <c r="K2965" s="50"/>
      <c r="L2965" s="50"/>
      <c r="M2965" s="50"/>
      <c r="N2965" s="50"/>
      <c r="O2965" s="50"/>
      <c r="P2965" s="2"/>
    </row>
    <row r="2966" spans="1:16">
      <c r="A2966" s="49"/>
      <c r="B2966" s="49"/>
      <c r="C2966" s="49"/>
      <c r="D2966" s="49">
        <f>ROUNDUP(6+F2966/2,0)</f>
        <v>7</v>
      </c>
      <c r="E2966" s="49" t="s">
        <v>6</v>
      </c>
      <c r="F2966" s="50">
        <f>LEN(G2966)</f>
        <v>2</v>
      </c>
      <c r="G2966" s="50" t="s">
        <v>344</v>
      </c>
      <c r="H2966" s="50">
        <f>H2964/2+J2964/2+10</f>
        <v>235</v>
      </c>
      <c r="I2966" s="50">
        <f>I2964+7</f>
        <v>206</v>
      </c>
      <c r="J2966" s="50"/>
      <c r="K2966" s="50"/>
      <c r="L2966" s="50"/>
      <c r="O2966" s="50"/>
      <c r="P2966" s="2"/>
    </row>
    <row r="2967" spans="1:16">
      <c r="A2967" s="49"/>
      <c r="B2967" s="49"/>
      <c r="C2967" s="49"/>
      <c r="D2967" s="49">
        <f>ROUNDUP(6+F2967/2,0)</f>
        <v>7</v>
      </c>
      <c r="E2967" s="49" t="s">
        <v>6</v>
      </c>
      <c r="F2967" s="50">
        <f>LEN(G2967)</f>
        <v>2</v>
      </c>
      <c r="G2967" s="50" t="s">
        <v>333</v>
      </c>
      <c r="H2967" s="50">
        <f>H2965/2+J2965/2+10</f>
        <v>250</v>
      </c>
      <c r="I2967" s="50">
        <f>I2965+7</f>
        <v>71</v>
      </c>
      <c r="J2967" s="50"/>
      <c r="K2967" s="50"/>
      <c r="L2967" s="50"/>
      <c r="O2967" s="50"/>
      <c r="P2967" s="2"/>
    </row>
    <row r="2968" spans="1:16">
      <c r="A2968" s="49"/>
      <c r="B2968" s="49"/>
      <c r="C2968" s="49"/>
      <c r="D2968" s="48">
        <v>4</v>
      </c>
      <c r="E2968" s="48" t="s">
        <v>15</v>
      </c>
      <c r="F2968" s="6">
        <v>2</v>
      </c>
      <c r="G2968" s="50"/>
      <c r="H2968" s="50"/>
      <c r="I2968" s="50"/>
      <c r="J2968" s="50"/>
      <c r="K2968" s="50"/>
      <c r="L2968" s="50"/>
      <c r="M2968" s="50"/>
      <c r="N2968" s="50"/>
      <c r="O2968" s="50"/>
      <c r="P2968" s="2"/>
    </row>
    <row r="2969" spans="1:16">
      <c r="A2969" s="49"/>
      <c r="B2969" s="49"/>
      <c r="C2969" s="49"/>
      <c r="D2969" s="49">
        <f t="shared" ref="D2969:D2974" si="161">ROUNDUP(6+F2969/2,0)</f>
        <v>8</v>
      </c>
      <c r="E2969" s="49" t="s">
        <v>6</v>
      </c>
      <c r="F2969" s="50">
        <f t="shared" ref="F2969:F2974" si="162">LEN(G2969)</f>
        <v>4</v>
      </c>
      <c r="G2969" s="50" t="s">
        <v>348</v>
      </c>
      <c r="H2969" s="50">
        <v>210</v>
      </c>
      <c r="I2969" s="50">
        <v>10</v>
      </c>
      <c r="J2969" s="50"/>
      <c r="K2969" s="50"/>
      <c r="L2969" s="50"/>
      <c r="M2969" s="50"/>
      <c r="N2969" s="50"/>
      <c r="O2969" s="50"/>
      <c r="P2969" s="2"/>
    </row>
    <row r="2970" spans="1:16">
      <c r="A2970" s="49"/>
      <c r="B2970" s="49"/>
      <c r="C2970" s="49"/>
      <c r="D2970" s="49">
        <f t="shared" si="161"/>
        <v>8</v>
      </c>
      <c r="E2970" s="49" t="s">
        <v>6</v>
      </c>
      <c r="F2970" s="50">
        <f t="shared" si="162"/>
        <v>4</v>
      </c>
      <c r="G2970" s="50" t="s">
        <v>349</v>
      </c>
      <c r="H2970" s="50">
        <v>225</v>
      </c>
      <c r="I2970" s="50">
        <v>140</v>
      </c>
      <c r="J2970" s="50"/>
      <c r="K2970" s="50"/>
      <c r="L2970" s="50"/>
      <c r="M2970" s="50"/>
      <c r="N2970" s="50"/>
      <c r="O2970" s="50"/>
      <c r="P2970" s="2"/>
    </row>
    <row r="2971" spans="1:16">
      <c r="A2971" s="49"/>
      <c r="B2971" s="49"/>
      <c r="C2971" s="49"/>
      <c r="D2971" s="49">
        <f t="shared" si="161"/>
        <v>8</v>
      </c>
      <c r="E2971" s="49" t="s">
        <v>6</v>
      </c>
      <c r="F2971" s="50">
        <f t="shared" si="162"/>
        <v>4</v>
      </c>
      <c r="G2971" s="50" t="s">
        <v>350</v>
      </c>
      <c r="H2971" s="50">
        <v>225</v>
      </c>
      <c r="I2971" s="50">
        <v>250</v>
      </c>
      <c r="J2971" s="50"/>
      <c r="K2971" s="50"/>
      <c r="L2971" s="50"/>
      <c r="M2971" s="50"/>
      <c r="N2971" s="50"/>
      <c r="O2971" s="50"/>
      <c r="P2971" s="2"/>
    </row>
    <row r="2972" spans="1:16">
      <c r="A2972" s="49"/>
      <c r="B2972" s="49"/>
      <c r="C2972" s="49"/>
      <c r="D2972" s="49">
        <f t="shared" si="161"/>
        <v>8</v>
      </c>
      <c r="E2972" s="49" t="s">
        <v>6</v>
      </c>
      <c r="F2972" s="50">
        <f t="shared" si="162"/>
        <v>3</v>
      </c>
      <c r="G2972" s="50" t="s">
        <v>324</v>
      </c>
      <c r="H2972" s="50">
        <v>225</v>
      </c>
      <c r="I2972" s="50">
        <v>410</v>
      </c>
      <c r="J2972" s="50"/>
      <c r="K2972" s="50"/>
      <c r="L2972" s="50"/>
      <c r="M2972" s="50"/>
      <c r="N2972" s="50"/>
      <c r="O2972" s="50"/>
      <c r="P2972" s="2"/>
    </row>
    <row r="2973" spans="1:16">
      <c r="A2973" s="49"/>
      <c r="B2973" s="7"/>
      <c r="C2973" s="49"/>
      <c r="D2973" s="49">
        <f t="shared" si="161"/>
        <v>8</v>
      </c>
      <c r="E2973" s="49" t="s">
        <v>6</v>
      </c>
      <c r="F2973" s="50">
        <f t="shared" si="162"/>
        <v>3</v>
      </c>
      <c r="G2973" s="50" t="s">
        <v>325</v>
      </c>
      <c r="H2973" s="50">
        <v>75</v>
      </c>
      <c r="I2973" s="50">
        <v>390</v>
      </c>
      <c r="J2973" s="50"/>
      <c r="K2973" s="50"/>
      <c r="L2973" s="50"/>
      <c r="M2973" s="50"/>
      <c r="N2973" s="50"/>
      <c r="O2973" s="50"/>
      <c r="P2973" s="2"/>
    </row>
    <row r="2974" spans="1:16">
      <c r="A2974" s="49"/>
      <c r="B2974" s="49"/>
      <c r="C2974" s="49"/>
      <c r="D2974" s="49">
        <f t="shared" si="161"/>
        <v>8</v>
      </c>
      <c r="E2974" s="49" t="s">
        <v>6</v>
      </c>
      <c r="F2974" s="50">
        <f t="shared" si="162"/>
        <v>3</v>
      </c>
      <c r="G2974" s="50" t="s">
        <v>322</v>
      </c>
      <c r="H2974" s="50">
        <v>75</v>
      </c>
      <c r="I2974" s="50">
        <v>140</v>
      </c>
      <c r="J2974" s="50"/>
      <c r="K2974" s="50"/>
      <c r="L2974" s="50"/>
      <c r="M2974" s="50"/>
      <c r="N2974" s="50"/>
      <c r="O2974" s="50"/>
      <c r="P2974" s="2"/>
    </row>
    <row r="2977" spans="1:22">
      <c r="A2977" s="48" t="s">
        <v>383</v>
      </c>
      <c r="B2977" s="1" t="s">
        <v>778</v>
      </c>
      <c r="D2977" s="48" t="s">
        <v>449</v>
      </c>
      <c r="E2977" s="48">
        <v>52695</v>
      </c>
      <c r="F2977" s="6">
        <v>39622</v>
      </c>
      <c r="G2977" s="6">
        <v>0</v>
      </c>
      <c r="H2977" s="6">
        <v>0</v>
      </c>
      <c r="I2977" s="6">
        <v>0</v>
      </c>
      <c r="J2977" s="6">
        <v>520</v>
      </c>
      <c r="K2977" s="6">
        <v>340</v>
      </c>
      <c r="L2977" s="6">
        <v>96</v>
      </c>
      <c r="M2977" s="6">
        <v>0</v>
      </c>
      <c r="N2977" s="6">
        <v>0</v>
      </c>
      <c r="O2977" s="6" t="e">
        <f ca="1">checksummeint(G2977,H2977,I2977,J2977,K2977,L2977,M2977,N2977)</f>
        <v>#NAME?</v>
      </c>
      <c r="P2977" s="48"/>
      <c r="Q2977" s="48"/>
      <c r="R2977" s="48"/>
      <c r="S2977" s="48"/>
      <c r="T2977" s="48"/>
      <c r="U2977" s="48"/>
      <c r="V2977" s="48"/>
    </row>
    <row r="2978" spans="1:22">
      <c r="D2978" s="48">
        <v>28</v>
      </c>
      <c r="E2978" s="48" t="s">
        <v>12</v>
      </c>
      <c r="F2978" s="6">
        <v>18</v>
      </c>
      <c r="G2978" s="6">
        <v>0</v>
      </c>
      <c r="H2978" s="6">
        <v>0</v>
      </c>
      <c r="I2978" s="6">
        <v>0</v>
      </c>
      <c r="J2978" s="6">
        <v>400</v>
      </c>
      <c r="K2978" s="6">
        <v>0</v>
      </c>
      <c r="L2978" s="6">
        <v>0</v>
      </c>
      <c r="M2978" s="6">
        <v>0</v>
      </c>
      <c r="N2978" s="6">
        <v>0</v>
      </c>
      <c r="O2978" s="6" t="s">
        <v>19</v>
      </c>
      <c r="P2978" s="48"/>
      <c r="Q2978" s="48"/>
      <c r="R2978" s="48"/>
      <c r="S2978" s="48"/>
      <c r="T2978" s="48"/>
      <c r="U2978" s="48"/>
      <c r="V2978" s="48"/>
    </row>
    <row r="2979" spans="1:22">
      <c r="A2979" t="s">
        <v>314</v>
      </c>
      <c r="D2979" s="48">
        <v>5</v>
      </c>
      <c r="E2979" s="48" t="s">
        <v>59</v>
      </c>
      <c r="F2979" s="6">
        <v>1</v>
      </c>
      <c r="G2979" s="6">
        <v>0</v>
      </c>
      <c r="P2979" s="48"/>
      <c r="Q2979" s="48"/>
      <c r="R2979" s="48"/>
      <c r="S2979" s="48"/>
      <c r="T2979" s="48"/>
      <c r="U2979" s="48"/>
      <c r="V2979" s="48"/>
    </row>
    <row r="2980" spans="1:22">
      <c r="D2980" s="48">
        <v>8</v>
      </c>
      <c r="E2980" s="48" t="s">
        <v>14</v>
      </c>
      <c r="F2980" s="6">
        <v>0</v>
      </c>
      <c r="G2980" s="6">
        <v>1</v>
      </c>
      <c r="H2980" s="6">
        <v>0</v>
      </c>
      <c r="I2980" s="6">
        <v>0</v>
      </c>
      <c r="J2980" s="6">
        <v>0</v>
      </c>
      <c r="M2980" s="44"/>
      <c r="N2980" s="45"/>
      <c r="O2980" s="46"/>
      <c r="P2980" s="48"/>
      <c r="Q2980" s="48"/>
      <c r="R2980" s="48"/>
      <c r="S2980" s="48"/>
      <c r="T2980" s="48"/>
      <c r="U2980" s="48"/>
      <c r="V2980" s="48"/>
    </row>
    <row r="2981" spans="1:22">
      <c r="D2981" s="48">
        <v>7</v>
      </c>
      <c r="E2981" s="48" t="s">
        <v>11</v>
      </c>
      <c r="F2981" s="6">
        <v>0</v>
      </c>
      <c r="G2981" s="50">
        <f>255*256+192</f>
        <v>65472</v>
      </c>
      <c r="H2981" s="50">
        <v>192</v>
      </c>
      <c r="I2981" s="6">
        <v>0</v>
      </c>
      <c r="P2981" s="48"/>
      <c r="Q2981" s="48"/>
      <c r="R2981" s="48"/>
      <c r="S2981" s="48"/>
      <c r="T2981" s="48"/>
      <c r="U2981" s="48"/>
      <c r="V2981" s="48"/>
    </row>
    <row r="2982" spans="1:22">
      <c r="D2982" s="48">
        <v>7</v>
      </c>
      <c r="E2982" s="48" t="s">
        <v>11</v>
      </c>
      <c r="F2982" s="6">
        <v>0</v>
      </c>
      <c r="G2982" s="6">
        <v>0</v>
      </c>
      <c r="H2982" s="6">
        <v>0</v>
      </c>
      <c r="I2982" s="6">
        <v>0</v>
      </c>
      <c r="P2982" s="48"/>
      <c r="Q2982" s="48"/>
      <c r="R2982" s="48"/>
      <c r="S2982" s="48"/>
      <c r="T2982" s="48"/>
      <c r="U2982" s="48"/>
      <c r="V2982" s="48"/>
    </row>
    <row r="2983" spans="1:22">
      <c r="A2983" s="1"/>
      <c r="B2983" s="1"/>
      <c r="D2983" s="48">
        <v>4</v>
      </c>
      <c r="E2983" s="48" t="s">
        <v>15</v>
      </c>
      <c r="F2983" s="6">
        <v>0</v>
      </c>
      <c r="G2983" s="50"/>
      <c r="P2983" s="48"/>
      <c r="Q2983" s="48"/>
      <c r="R2983" s="48"/>
      <c r="S2983" s="48"/>
      <c r="T2983" s="48"/>
      <c r="U2983" s="48"/>
      <c r="V2983" s="48"/>
    </row>
    <row r="2984" spans="1:22">
      <c r="A2984" s="1"/>
      <c r="B2984" s="1"/>
      <c r="D2984" s="48">
        <v>4</v>
      </c>
      <c r="E2984" s="48" t="s">
        <v>15</v>
      </c>
      <c r="F2984" s="6">
        <v>1</v>
      </c>
      <c r="P2984" s="48"/>
      <c r="Q2984" s="48"/>
      <c r="R2984" s="48"/>
      <c r="S2984" s="48"/>
      <c r="T2984" s="48"/>
      <c r="U2984" s="48"/>
      <c r="V2984" s="48"/>
    </row>
    <row r="2985" spans="1:22">
      <c r="A2985" s="1"/>
      <c r="B2985" s="1"/>
      <c r="D2985" s="48"/>
      <c r="E2985" s="48" t="s">
        <v>113</v>
      </c>
      <c r="F2985" s="6">
        <v>10</v>
      </c>
      <c r="G2985" s="50">
        <v>40</v>
      </c>
      <c r="H2985" s="50">
        <v>250</v>
      </c>
      <c r="I2985" s="50">
        <f>G2985+V2985</f>
        <v>480</v>
      </c>
      <c r="J2985" s="50">
        <f>H2985-V2986</f>
        <v>175</v>
      </c>
      <c r="K2985" s="50" t="s">
        <v>22</v>
      </c>
      <c r="L2985" s="49">
        <v>0</v>
      </c>
      <c r="M2985" s="49">
        <v>0</v>
      </c>
      <c r="N2985" s="49">
        <v>4</v>
      </c>
      <c r="O2985" s="50">
        <v>0</v>
      </c>
      <c r="P2985" s="50">
        <v>0</v>
      </c>
      <c r="Q2985" s="49">
        <v>3</v>
      </c>
      <c r="R2985" s="49">
        <v>0</v>
      </c>
      <c r="S2985" s="49">
        <v>0</v>
      </c>
      <c r="T2985" s="49">
        <v>80</v>
      </c>
      <c r="U2985" s="49">
        <v>300</v>
      </c>
      <c r="V2985" s="49">
        <v>440</v>
      </c>
    </row>
    <row r="2986" spans="1:22">
      <c r="A2986" s="1"/>
      <c r="B2986" s="1"/>
      <c r="D2986" s="49">
        <f>F2986*2+4</f>
        <v>8</v>
      </c>
      <c r="E2986" s="49" t="s">
        <v>1</v>
      </c>
      <c r="F2986" s="50">
        <v>2</v>
      </c>
      <c r="G2986" s="50">
        <f>I2986</f>
        <v>480</v>
      </c>
      <c r="H2986" s="50">
        <f>J2986+10</f>
        <v>255</v>
      </c>
      <c r="I2986" s="50">
        <f>I2985</f>
        <v>480</v>
      </c>
      <c r="J2986" s="50">
        <f>H2985-5</f>
        <v>245</v>
      </c>
      <c r="K2986" s="36" t="s">
        <v>21</v>
      </c>
      <c r="L2986" s="50"/>
      <c r="M2986" s="49"/>
      <c r="N2986" s="48"/>
      <c r="P2986" s="49"/>
      <c r="Q2986" s="50">
        <v>2</v>
      </c>
      <c r="R2986" s="49"/>
      <c r="S2986" s="49">
        <v>0</v>
      </c>
      <c r="T2986" s="49">
        <v>20</v>
      </c>
      <c r="U2986" s="49">
        <f>V2986</f>
        <v>75</v>
      </c>
      <c r="V2986" s="49">
        <v>75</v>
      </c>
    </row>
    <row r="2987" spans="1:22">
      <c r="A2987" s="1"/>
      <c r="B2987" s="1"/>
      <c r="D2987" s="49">
        <f>F2987*2+4</f>
        <v>8</v>
      </c>
      <c r="E2987" s="49" t="s">
        <v>1</v>
      </c>
      <c r="F2987" s="50">
        <v>2</v>
      </c>
      <c r="G2987" s="50">
        <f>G2985-5</f>
        <v>35</v>
      </c>
      <c r="H2987" s="50">
        <f>J2987</f>
        <v>175</v>
      </c>
      <c r="I2987" s="50">
        <f>G2987+10</f>
        <v>45</v>
      </c>
      <c r="J2987" s="50">
        <f>J2985</f>
        <v>175</v>
      </c>
      <c r="K2987" s="50"/>
      <c r="L2987" s="50"/>
      <c r="M2987" s="49"/>
      <c r="N2987" s="49"/>
      <c r="O2987" s="50"/>
      <c r="P2987" s="49"/>
      <c r="Q2987" s="6"/>
      <c r="R2987" s="49"/>
      <c r="S2987" s="49"/>
      <c r="T2987" s="49"/>
      <c r="U2987" s="49"/>
      <c r="V2987" s="48"/>
    </row>
    <row r="2988" spans="1:22">
      <c r="B2988" s="2"/>
      <c r="D2988" s="49">
        <f>ROUNDUP(6+F2988/2,0)</f>
        <v>7</v>
      </c>
      <c r="E2988" s="49" t="s">
        <v>6</v>
      </c>
      <c r="F2988" s="50">
        <f>LEN(G2988)</f>
        <v>2</v>
      </c>
      <c r="G2988" s="50" t="s">
        <v>300</v>
      </c>
      <c r="H2988" s="50">
        <f>H2986</f>
        <v>255</v>
      </c>
      <c r="I2988" s="50">
        <f>I2986-5</f>
        <v>475</v>
      </c>
      <c r="J2988" s="50"/>
      <c r="K2988" s="50"/>
      <c r="L2988" s="50"/>
      <c r="M2988" s="49"/>
      <c r="N2988" s="49"/>
      <c r="O2988" s="50"/>
      <c r="P2988" s="49"/>
      <c r="Q2988" s="50"/>
      <c r="R2988" s="49"/>
      <c r="S2988" s="49"/>
      <c r="T2988" s="49"/>
      <c r="U2988" s="49"/>
      <c r="V2988" s="48"/>
    </row>
    <row r="2989" spans="1:22">
      <c r="A2989" s="1"/>
      <c r="B2989" s="2"/>
      <c r="D2989" s="49">
        <f>ROUNDUP(6+F2989/2,0)</f>
        <v>7</v>
      </c>
      <c r="E2989" s="49" t="s">
        <v>6</v>
      </c>
      <c r="F2989" s="50">
        <f>LEN(G2989)</f>
        <v>2</v>
      </c>
      <c r="G2989" s="50" t="s">
        <v>304</v>
      </c>
      <c r="H2989" s="50">
        <f>H2987-8</f>
        <v>167</v>
      </c>
      <c r="I2989" s="50">
        <f>I2987-30</f>
        <v>15</v>
      </c>
      <c r="J2989" s="50"/>
      <c r="K2989" s="50"/>
      <c r="L2989" s="50"/>
      <c r="M2989" s="49"/>
      <c r="N2989" s="49"/>
      <c r="O2989" s="50"/>
      <c r="P2989" s="49"/>
      <c r="Q2989" s="50"/>
      <c r="R2989" s="49"/>
      <c r="S2989" s="49"/>
      <c r="T2989" s="49"/>
      <c r="U2989" s="49"/>
      <c r="V2989" s="48"/>
    </row>
    <row r="2990" spans="1:22">
      <c r="B2990" s="2"/>
      <c r="D2990" s="48"/>
      <c r="E2990" s="48" t="s">
        <v>113</v>
      </c>
      <c r="F2990" s="6">
        <v>10</v>
      </c>
      <c r="G2990" s="50">
        <f>G2985+V2985-U2990</f>
        <v>120</v>
      </c>
      <c r="H2990" s="50">
        <v>100</v>
      </c>
      <c r="I2990" s="50">
        <f>G2990+U2990</f>
        <v>480</v>
      </c>
      <c r="J2990" s="50">
        <f>H2990-U2991</f>
        <v>25</v>
      </c>
      <c r="K2990" s="50" t="s">
        <v>22</v>
      </c>
      <c r="L2990" s="49"/>
      <c r="M2990" s="49"/>
      <c r="N2990" s="49">
        <f>COUNT(S2990:CD2990)</f>
        <v>3</v>
      </c>
      <c r="O2990" s="50"/>
      <c r="P2990" s="49"/>
      <c r="Q2990" s="6">
        <v>3</v>
      </c>
      <c r="R2990" s="49"/>
      <c r="S2990" s="49">
        <v>0</v>
      </c>
      <c r="T2990" s="49">
        <v>120</v>
      </c>
      <c r="U2990" s="49">
        <v>360</v>
      </c>
      <c r="V2990" s="48"/>
    </row>
    <row r="2991" spans="1:22">
      <c r="A2991" s="2"/>
      <c r="B2991" s="2"/>
      <c r="C2991" s="2"/>
      <c r="D2991" s="49">
        <f>F2991*2+4</f>
        <v>8</v>
      </c>
      <c r="E2991" s="49" t="s">
        <v>1</v>
      </c>
      <c r="F2991" s="50">
        <v>2</v>
      </c>
      <c r="G2991" s="50">
        <f>I2991</f>
        <v>480</v>
      </c>
      <c r="H2991" s="50">
        <f>J2991+10</f>
        <v>105</v>
      </c>
      <c r="I2991" s="50">
        <f>I2990</f>
        <v>480</v>
      </c>
      <c r="J2991" s="50">
        <f>H2990-5</f>
        <v>95</v>
      </c>
      <c r="K2991" s="36" t="s">
        <v>21</v>
      </c>
      <c r="L2991" s="50"/>
      <c r="P2991" s="48"/>
      <c r="Q2991" s="50">
        <v>2</v>
      </c>
      <c r="R2991" s="49"/>
      <c r="S2991" s="49">
        <v>0</v>
      </c>
      <c r="T2991" s="49">
        <f>U2991</f>
        <v>75</v>
      </c>
      <c r="U2991" s="49">
        <v>75</v>
      </c>
      <c r="V2991" s="48"/>
    </row>
    <row r="2992" spans="1:22">
      <c r="A2992" s="2"/>
      <c r="B2992" s="2"/>
      <c r="C2992" s="2"/>
      <c r="D2992" s="49">
        <f>F2992*2+4</f>
        <v>8</v>
      </c>
      <c r="E2992" s="49" t="s">
        <v>1</v>
      </c>
      <c r="F2992" s="50">
        <v>2</v>
      </c>
      <c r="G2992" s="50">
        <f>G2990-5</f>
        <v>115</v>
      </c>
      <c r="H2992" s="50">
        <f>J2992</f>
        <v>25</v>
      </c>
      <c r="I2992" s="50">
        <f>G2992+10</f>
        <v>125</v>
      </c>
      <c r="J2992" s="50">
        <f>J2990</f>
        <v>25</v>
      </c>
      <c r="K2992" s="50"/>
      <c r="L2992" s="50"/>
      <c r="M2992" s="50"/>
      <c r="N2992" s="50"/>
      <c r="O2992" s="50"/>
      <c r="P2992" s="49"/>
      <c r="Q2992" s="49"/>
      <c r="R2992" s="49"/>
      <c r="S2992" s="49"/>
      <c r="T2992" s="48"/>
      <c r="U2992" s="49"/>
      <c r="V2992" s="49"/>
    </row>
    <row r="2993" spans="1:22">
      <c r="A2993" s="2"/>
      <c r="B2993" s="2"/>
      <c r="C2993" s="2"/>
      <c r="D2993" s="49">
        <f>ROUNDUP(6+F2993/2,0)</f>
        <v>7</v>
      </c>
      <c r="E2993" s="49" t="s">
        <v>6</v>
      </c>
      <c r="F2993" s="50">
        <f>LEN(G2993)</f>
        <v>2</v>
      </c>
      <c r="G2993" s="50" t="s">
        <v>296</v>
      </c>
      <c r="H2993" s="50">
        <f>H2991</f>
        <v>105</v>
      </c>
      <c r="I2993" s="50">
        <f>I2991-5</f>
        <v>475</v>
      </c>
      <c r="J2993" s="50"/>
      <c r="K2993" s="50"/>
      <c r="L2993" s="50"/>
      <c r="M2993" s="50"/>
      <c r="O2993" s="50"/>
      <c r="P2993" s="49"/>
      <c r="Q2993" s="49"/>
      <c r="R2993" s="49"/>
      <c r="S2993" s="49"/>
      <c r="T2993" s="48"/>
      <c r="U2993" s="49"/>
      <c r="V2993" s="49"/>
    </row>
    <row r="2994" spans="1:22">
      <c r="A2994" s="2"/>
      <c r="B2994" s="2"/>
      <c r="C2994" s="2"/>
      <c r="D2994" s="49">
        <f>ROUNDUP(6+F2994/2,0)</f>
        <v>7</v>
      </c>
      <c r="E2994" s="49" t="s">
        <v>6</v>
      </c>
      <c r="F2994" s="50">
        <f>LEN(G2994)</f>
        <v>2</v>
      </c>
      <c r="G2994" s="50" t="s">
        <v>299</v>
      </c>
      <c r="H2994" s="50">
        <f>H2992-8</f>
        <v>17</v>
      </c>
      <c r="I2994" s="50">
        <f>I2992-30</f>
        <v>95</v>
      </c>
      <c r="J2994" s="50"/>
      <c r="K2994" s="50"/>
      <c r="L2994" s="50"/>
      <c r="M2994" s="50"/>
      <c r="N2994" s="50"/>
      <c r="O2994" s="50"/>
      <c r="P2994" s="49"/>
      <c r="Q2994" s="49"/>
      <c r="R2994" s="49"/>
      <c r="S2994" s="49"/>
      <c r="T2994" s="48"/>
      <c r="U2994" s="49"/>
      <c r="V2994" s="49"/>
    </row>
    <row r="2995" spans="1:22">
      <c r="A2995" s="2"/>
      <c r="B2995" s="2"/>
      <c r="C2995" s="2"/>
      <c r="D2995" s="48">
        <v>4</v>
      </c>
      <c r="E2995" s="48" t="s">
        <v>15</v>
      </c>
      <c r="F2995" s="6">
        <v>3</v>
      </c>
      <c r="G2995" s="50"/>
      <c r="H2995" s="50"/>
      <c r="I2995" s="50"/>
      <c r="J2995" s="50"/>
      <c r="K2995" s="50"/>
      <c r="L2995" s="50"/>
      <c r="M2995" s="36"/>
      <c r="O2995" s="50"/>
      <c r="P2995" s="49"/>
      <c r="Q2995" s="49"/>
      <c r="R2995" s="49"/>
      <c r="S2995" s="49"/>
      <c r="T2995" s="48"/>
      <c r="U2995" s="49"/>
      <c r="V2995" s="49"/>
    </row>
    <row r="2996" spans="1:22">
      <c r="A2996" s="2"/>
      <c r="B2996" s="2"/>
      <c r="C2996" s="2"/>
      <c r="D2996" s="49">
        <v>64</v>
      </c>
      <c r="E2996" s="49" t="s">
        <v>114</v>
      </c>
      <c r="F2996" s="50">
        <v>10</v>
      </c>
      <c r="G2996" s="50">
        <f>G2990</f>
        <v>120</v>
      </c>
      <c r="H2996" s="50">
        <v>130</v>
      </c>
      <c r="I2996" s="50">
        <f>I2990</f>
        <v>480</v>
      </c>
      <c r="J2996" s="50">
        <f>H2996</f>
        <v>130</v>
      </c>
      <c r="K2996" s="50">
        <f>G2996+T2990</f>
        <v>240</v>
      </c>
      <c r="L2996" s="50">
        <f>J2996</f>
        <v>130</v>
      </c>
      <c r="M2996" s="50" t="s">
        <v>351</v>
      </c>
      <c r="N2996" s="50" t="s">
        <v>352</v>
      </c>
      <c r="O2996" s="50"/>
      <c r="P2996" s="49"/>
      <c r="Q2996" s="49"/>
      <c r="R2996" s="49"/>
      <c r="S2996" s="49"/>
      <c r="T2996" s="48"/>
      <c r="U2996" s="49"/>
      <c r="V2996" s="49"/>
    </row>
    <row r="2997" spans="1:22">
      <c r="B2997" s="2"/>
      <c r="D2997" s="49">
        <v>44</v>
      </c>
      <c r="E2997" s="49" t="s">
        <v>112</v>
      </c>
      <c r="F2997" s="50">
        <v>10</v>
      </c>
      <c r="G2997" s="50">
        <f>G2996</f>
        <v>120</v>
      </c>
      <c r="H2997" s="50">
        <f>H2996+25</f>
        <v>155</v>
      </c>
      <c r="I2997" s="50">
        <f>I2996</f>
        <v>480</v>
      </c>
      <c r="J2997" s="50">
        <f>H2997</f>
        <v>155</v>
      </c>
      <c r="K2997" s="50" t="s">
        <v>296</v>
      </c>
      <c r="L2997" s="50"/>
      <c r="M2997" s="49"/>
      <c r="N2997" s="50"/>
      <c r="O2997" s="50"/>
      <c r="P2997" s="49"/>
      <c r="Q2997" s="49"/>
      <c r="R2997" s="49"/>
      <c r="S2997" s="49"/>
      <c r="T2997" s="48"/>
      <c r="U2997" s="49"/>
      <c r="V2997" s="49"/>
    </row>
    <row r="2998" spans="1:22">
      <c r="B2998" s="2"/>
      <c r="D2998" s="49">
        <v>64</v>
      </c>
      <c r="E2998" s="49" t="s">
        <v>114</v>
      </c>
      <c r="F2998" s="50">
        <v>10</v>
      </c>
      <c r="G2998" s="50">
        <f>G2985</f>
        <v>40</v>
      </c>
      <c r="H2998" s="50">
        <v>280</v>
      </c>
      <c r="I2998" s="50">
        <f>I2985</f>
        <v>480</v>
      </c>
      <c r="J2998" s="50">
        <f>H2998</f>
        <v>280</v>
      </c>
      <c r="K2998" s="50">
        <f>G2998+U2985</f>
        <v>340</v>
      </c>
      <c r="L2998" s="50">
        <f>J2998</f>
        <v>280</v>
      </c>
      <c r="M2998" s="50" t="s">
        <v>353</v>
      </c>
      <c r="N2998" s="50" t="s">
        <v>301</v>
      </c>
      <c r="O2998" s="50"/>
      <c r="P2998" s="49"/>
      <c r="Q2998" s="49"/>
      <c r="R2998" s="49"/>
      <c r="S2998" s="49"/>
      <c r="T2998" s="48"/>
      <c r="U2998" s="49"/>
      <c r="V2998" s="49"/>
    </row>
    <row r="2999" spans="1:22">
      <c r="B2999" s="1"/>
      <c r="D2999" s="49">
        <v>44</v>
      </c>
      <c r="E2999" s="49" t="s">
        <v>112</v>
      </c>
      <c r="F2999" s="50">
        <v>10</v>
      </c>
      <c r="G2999" s="50">
        <f>G2998</f>
        <v>40</v>
      </c>
      <c r="H2999" s="50">
        <f>H2998+25</f>
        <v>305</v>
      </c>
      <c r="I2999" s="50">
        <f>I2998</f>
        <v>480</v>
      </c>
      <c r="J2999" s="50">
        <f>H2999</f>
        <v>305</v>
      </c>
      <c r="K2999" s="50" t="s">
        <v>300</v>
      </c>
      <c r="L2999" s="50"/>
      <c r="M2999" s="50"/>
      <c r="N2999" s="50"/>
      <c r="O2999" s="50"/>
      <c r="P2999" s="49"/>
      <c r="Q2999" s="49"/>
      <c r="R2999" s="49"/>
      <c r="S2999" s="49"/>
      <c r="T2999" s="48"/>
      <c r="U2999" s="49"/>
      <c r="V2999" s="49"/>
    </row>
    <row r="3000" spans="1:22">
      <c r="A3000" s="1"/>
      <c r="B3000" s="2"/>
      <c r="D3000" s="49">
        <f>24+(20+6)*G3000+ROUNDUP(LEN(H3000)/2,0)</f>
        <v>106</v>
      </c>
      <c r="E3000" s="49" t="s">
        <v>769</v>
      </c>
      <c r="F3000" s="49">
        <v>10</v>
      </c>
      <c r="G3000" s="49">
        <v>3</v>
      </c>
      <c r="H3000" s="50" t="s">
        <v>599</v>
      </c>
      <c r="I3000" s="50">
        <f>G2985+S2985</f>
        <v>40</v>
      </c>
      <c r="J3000" s="50">
        <v>188</v>
      </c>
      <c r="K3000" s="50">
        <f>G2985+U2985</f>
        <v>340</v>
      </c>
      <c r="L3000" s="50">
        <f>J3000</f>
        <v>188</v>
      </c>
      <c r="M3000" s="49">
        <v>80</v>
      </c>
      <c r="N3000" s="49">
        <v>200</v>
      </c>
      <c r="O3000" s="49"/>
      <c r="P3000" s="49"/>
      <c r="Q3000" s="49"/>
      <c r="R3000" s="49"/>
      <c r="S3000" s="49"/>
      <c r="T3000" s="48"/>
      <c r="U3000" s="49"/>
      <c r="V3000" s="49"/>
    </row>
    <row r="3001" spans="1:22">
      <c r="B3001" s="2"/>
      <c r="D3001" s="49">
        <v>44</v>
      </c>
      <c r="E3001" s="49" t="s">
        <v>112</v>
      </c>
      <c r="F3001" s="50">
        <v>5</v>
      </c>
      <c r="G3001" s="50">
        <f>I3000+M3000</f>
        <v>120</v>
      </c>
      <c r="H3001" s="50">
        <v>230</v>
      </c>
      <c r="I3001" s="50">
        <f>G3001</f>
        <v>120</v>
      </c>
      <c r="J3001" s="50">
        <f>H2985</f>
        <v>250</v>
      </c>
      <c r="K3001" s="50"/>
      <c r="L3001" s="50"/>
      <c r="O3001" s="50"/>
      <c r="P3001" s="49"/>
      <c r="Q3001" s="49"/>
      <c r="R3001" s="49"/>
      <c r="S3001" s="49"/>
      <c r="T3001" s="48"/>
      <c r="U3001" s="49"/>
      <c r="V3001" s="49"/>
    </row>
    <row r="3002" spans="1:22">
      <c r="B3002" s="2"/>
      <c r="D3002" s="49">
        <f>ROUNDUP(6+F3002/2,0)</f>
        <v>7</v>
      </c>
      <c r="E3002" s="49" t="s">
        <v>6</v>
      </c>
      <c r="F3002" s="50">
        <f>LEN(G3002)</f>
        <v>2</v>
      </c>
      <c r="G3002" s="50" t="s">
        <v>333</v>
      </c>
      <c r="H3002" s="50">
        <f>H3001/2+J3001/2-10</f>
        <v>230</v>
      </c>
      <c r="I3002" s="50">
        <f>I3001+5</f>
        <v>125</v>
      </c>
      <c r="J3002" s="50"/>
      <c r="K3002" s="50"/>
      <c r="L3002" s="50"/>
      <c r="M3002" s="50"/>
      <c r="N3002" s="50"/>
      <c r="O3002" s="50"/>
      <c r="P3002" s="49"/>
      <c r="Q3002" s="49"/>
      <c r="R3002" s="49"/>
      <c r="S3002" s="49"/>
      <c r="T3002" s="48"/>
      <c r="U3002" s="49"/>
      <c r="V3002" s="49"/>
    </row>
    <row r="3003" spans="1:22">
      <c r="A3003" s="2"/>
      <c r="B3003" s="2"/>
      <c r="C3003" s="2"/>
      <c r="D3003" s="49">
        <v>44</v>
      </c>
      <c r="E3003" s="49" t="s">
        <v>112</v>
      </c>
      <c r="F3003" s="50">
        <v>10</v>
      </c>
      <c r="G3003" s="50">
        <f>I3000+N3000</f>
        <v>240</v>
      </c>
      <c r="H3003" s="50">
        <v>200</v>
      </c>
      <c r="I3003" s="50">
        <f>G3003</f>
        <v>240</v>
      </c>
      <c r="J3003" s="50">
        <f>J3001</f>
        <v>250</v>
      </c>
      <c r="K3003" s="50"/>
      <c r="L3003" s="50"/>
      <c r="M3003" s="50"/>
      <c r="N3003" s="50"/>
      <c r="O3003" s="50"/>
      <c r="P3003" s="49"/>
      <c r="Q3003" s="49"/>
      <c r="R3003" s="49"/>
      <c r="S3003" s="49"/>
      <c r="T3003" s="48"/>
      <c r="U3003" s="49"/>
      <c r="V3003" s="49"/>
    </row>
    <row r="3004" spans="1:22">
      <c r="A3004" s="2"/>
      <c r="B3004" s="2"/>
      <c r="C3004" s="2"/>
      <c r="D3004" s="49">
        <f>ROUNDUP(6+F3004/2,0)</f>
        <v>7</v>
      </c>
      <c r="E3004" s="49" t="s">
        <v>6</v>
      </c>
      <c r="F3004" s="50">
        <f>LEN(G3004)</f>
        <v>2</v>
      </c>
      <c r="G3004" s="50" t="s">
        <v>344</v>
      </c>
      <c r="H3004" s="50">
        <f>H3003/2+J3003/2-10</f>
        <v>215</v>
      </c>
      <c r="I3004" s="50">
        <f>I3003+5</f>
        <v>245</v>
      </c>
      <c r="J3004" s="50"/>
      <c r="K3004" s="50"/>
      <c r="L3004" s="50"/>
      <c r="M3004" s="50"/>
      <c r="N3004" s="50"/>
      <c r="O3004" s="50"/>
      <c r="P3004" s="49"/>
      <c r="Q3004" s="49"/>
      <c r="R3004" s="49"/>
      <c r="S3004" s="49"/>
      <c r="T3004" s="48"/>
      <c r="U3004" s="49"/>
      <c r="V3004" s="49"/>
    </row>
    <row r="3005" spans="1:22">
      <c r="A3005" s="2"/>
      <c r="B3005" s="2"/>
      <c r="C3005" s="2"/>
      <c r="D3005" s="48">
        <v>4</v>
      </c>
      <c r="E3005" s="48" t="s">
        <v>15</v>
      </c>
      <c r="F3005" s="6">
        <v>2</v>
      </c>
      <c r="G3005" s="50"/>
      <c r="H3005" s="50"/>
      <c r="I3005" s="50"/>
      <c r="J3005" s="50"/>
      <c r="K3005" s="50"/>
      <c r="L3005" s="50"/>
      <c r="M3005" s="50"/>
      <c r="N3005" s="50"/>
      <c r="O3005" s="50"/>
      <c r="P3005" s="49"/>
      <c r="Q3005" s="49"/>
      <c r="R3005" s="49"/>
      <c r="S3005" s="49"/>
      <c r="T3005" s="49"/>
      <c r="U3005" s="49"/>
      <c r="V3005" s="49"/>
    </row>
    <row r="3006" spans="1:22">
      <c r="A3006" s="2"/>
      <c r="B3006" s="2"/>
      <c r="C3006" s="2"/>
      <c r="D3006" s="49">
        <v>7</v>
      </c>
      <c r="E3006" s="49" t="s">
        <v>0</v>
      </c>
      <c r="F3006" s="50">
        <f>H2985-T2986-2</f>
        <v>228</v>
      </c>
      <c r="G3006" s="50">
        <f>G2985+T2985-2</f>
        <v>118</v>
      </c>
      <c r="H3006" s="50">
        <f t="shared" ref="H3006:I3008" si="163">F3006+5</f>
        <v>233</v>
      </c>
      <c r="I3006" s="50">
        <f t="shared" si="163"/>
        <v>123</v>
      </c>
      <c r="J3006" s="50"/>
      <c r="K3006" s="50"/>
      <c r="L3006" s="50"/>
      <c r="M3006" s="50"/>
      <c r="N3006" s="50"/>
      <c r="O3006" s="50"/>
      <c r="P3006" s="49"/>
      <c r="Q3006" s="49"/>
      <c r="R3006" s="49"/>
      <c r="S3006" s="49"/>
      <c r="T3006" s="49"/>
      <c r="U3006" s="49"/>
      <c r="V3006" s="49"/>
    </row>
    <row r="3007" spans="1:22">
      <c r="A3007" s="2"/>
      <c r="B3007" s="2"/>
      <c r="C3007" s="2"/>
      <c r="D3007" s="49">
        <v>7</v>
      </c>
      <c r="E3007" s="49" t="s">
        <v>0</v>
      </c>
      <c r="F3007" s="50">
        <f>H2985-U2986-2</f>
        <v>173</v>
      </c>
      <c r="G3007" s="50">
        <f>G2985+U2985-2</f>
        <v>338</v>
      </c>
      <c r="H3007" s="50">
        <f t="shared" si="163"/>
        <v>178</v>
      </c>
      <c r="I3007" s="50">
        <f t="shared" si="163"/>
        <v>343</v>
      </c>
      <c r="J3007" s="50"/>
      <c r="K3007" s="50"/>
      <c r="L3007" s="50"/>
      <c r="M3007" s="50"/>
      <c r="N3007" s="50"/>
      <c r="O3007" s="50"/>
      <c r="P3007" s="49"/>
      <c r="Q3007" s="49"/>
      <c r="R3007" s="49"/>
      <c r="S3007" s="49"/>
      <c r="T3007" s="49"/>
      <c r="U3007" s="49"/>
      <c r="V3007" s="49"/>
    </row>
    <row r="3008" spans="1:22">
      <c r="A3008" s="2"/>
      <c r="B3008" s="2"/>
      <c r="C3008" s="2"/>
      <c r="D3008" s="49">
        <v>7</v>
      </c>
      <c r="E3008" s="49" t="s">
        <v>0</v>
      </c>
      <c r="F3008" s="50">
        <v>198</v>
      </c>
      <c r="G3008" s="50">
        <v>238</v>
      </c>
      <c r="H3008" s="50">
        <f t="shared" si="163"/>
        <v>203</v>
      </c>
      <c r="I3008" s="50">
        <f t="shared" si="163"/>
        <v>243</v>
      </c>
      <c r="J3008" s="50"/>
      <c r="K3008" s="50"/>
      <c r="L3008" s="50"/>
      <c r="M3008" s="50"/>
      <c r="N3008" s="50"/>
      <c r="O3008" s="50"/>
      <c r="P3008" s="49"/>
      <c r="Q3008" s="49"/>
      <c r="R3008" s="49"/>
      <c r="S3008" s="49"/>
      <c r="T3008" s="49"/>
      <c r="U3008" s="49"/>
      <c r="V3008" s="49"/>
    </row>
    <row r="3009" spans="1:22">
      <c r="A3009" s="2"/>
      <c r="B3009" s="2"/>
      <c r="C3009" s="2"/>
      <c r="D3009" s="49">
        <f>ROUNDUP(6+F3009/2,0)</f>
        <v>7</v>
      </c>
      <c r="E3009" s="49" t="s">
        <v>6</v>
      </c>
      <c r="F3009" s="50">
        <f>LEN(G3009)</f>
        <v>2</v>
      </c>
      <c r="G3009" s="50" t="s">
        <v>130</v>
      </c>
      <c r="H3009" s="50">
        <f>H3006-20</f>
        <v>213</v>
      </c>
      <c r="I3009" s="50">
        <f>I3006-10</f>
        <v>113</v>
      </c>
      <c r="J3009" s="50"/>
      <c r="K3009" s="50"/>
      <c r="L3009" s="50"/>
      <c r="O3009" s="50"/>
      <c r="P3009" s="49"/>
      <c r="Q3009" s="49"/>
      <c r="R3009" s="49"/>
      <c r="S3009" s="49"/>
      <c r="T3009" s="49"/>
      <c r="U3009" s="49"/>
      <c r="V3009" s="49"/>
    </row>
    <row r="3010" spans="1:22">
      <c r="A3010" s="2"/>
      <c r="B3010" s="2"/>
      <c r="C3010" s="2"/>
      <c r="D3010" s="49">
        <f>ROUNDUP(6+F3010/2,0)</f>
        <v>7</v>
      </c>
      <c r="E3010" s="49" t="s">
        <v>6</v>
      </c>
      <c r="F3010" s="50">
        <f>LEN(G3010)</f>
        <v>2</v>
      </c>
      <c r="G3010" s="50" t="s">
        <v>131</v>
      </c>
      <c r="H3010" s="50">
        <f>H3007</f>
        <v>178</v>
      </c>
      <c r="I3010" s="50">
        <f>I3007</f>
        <v>343</v>
      </c>
      <c r="J3010" s="50"/>
      <c r="K3010" s="50"/>
      <c r="L3010" s="50"/>
      <c r="O3010" s="50"/>
      <c r="P3010" s="49"/>
      <c r="Q3010" s="49"/>
      <c r="R3010" s="49"/>
      <c r="S3010" s="49"/>
      <c r="T3010" s="49"/>
      <c r="U3010" s="49"/>
      <c r="V3010" s="49"/>
    </row>
    <row r="3011" spans="1:22">
      <c r="A3011" s="2"/>
      <c r="B3011" s="2"/>
      <c r="C3011" s="2"/>
      <c r="D3011" s="49">
        <f>ROUNDUP(6+F3011/2,0)</f>
        <v>7</v>
      </c>
      <c r="E3011" s="49" t="s">
        <v>6</v>
      </c>
      <c r="F3011" s="50">
        <f>LEN(G3011)</f>
        <v>2</v>
      </c>
      <c r="G3011" s="50" t="s">
        <v>285</v>
      </c>
      <c r="H3011" s="50">
        <f>H3008-15</f>
        <v>188</v>
      </c>
      <c r="I3011" s="50">
        <f>I3008-30</f>
        <v>213</v>
      </c>
      <c r="J3011" s="50"/>
      <c r="K3011" s="50"/>
      <c r="L3011" s="50"/>
      <c r="M3011" s="50"/>
      <c r="N3011" s="50"/>
      <c r="O3011" s="50"/>
      <c r="P3011" s="49"/>
      <c r="Q3011" s="49"/>
      <c r="R3011" s="49"/>
      <c r="S3011" s="49"/>
      <c r="T3011" s="49"/>
      <c r="U3011" s="49"/>
      <c r="V3011" s="49"/>
    </row>
    <row r="3012" spans="1:22">
      <c r="A3012" s="2"/>
      <c r="B3012" s="2"/>
      <c r="C3012" s="2"/>
      <c r="D3012" s="48">
        <v>4</v>
      </c>
      <c r="E3012" s="48" t="s">
        <v>15</v>
      </c>
      <c r="F3012" s="6">
        <v>3</v>
      </c>
      <c r="G3012" s="50"/>
      <c r="H3012" s="50"/>
      <c r="I3012" s="50"/>
      <c r="J3012" s="50"/>
      <c r="K3012" s="50"/>
      <c r="L3012" s="50"/>
      <c r="M3012" s="50"/>
      <c r="N3012" s="50"/>
      <c r="O3012" s="50"/>
      <c r="P3012" s="49"/>
      <c r="Q3012" s="49"/>
      <c r="R3012" s="49"/>
      <c r="S3012" s="49"/>
      <c r="T3012" s="49"/>
      <c r="U3012" s="49"/>
      <c r="V3012" s="49"/>
    </row>
    <row r="3013" spans="1:22">
      <c r="A3013" s="2"/>
      <c r="B3013" s="2"/>
      <c r="C3013" s="2"/>
      <c r="D3013" s="48">
        <v>8</v>
      </c>
      <c r="E3013" s="48" t="s">
        <v>14</v>
      </c>
      <c r="F3013" s="6">
        <v>0</v>
      </c>
      <c r="G3013" s="6">
        <v>2</v>
      </c>
      <c r="H3013" s="6">
        <v>0</v>
      </c>
      <c r="I3013" s="6">
        <v>0</v>
      </c>
      <c r="J3013" s="6">
        <v>0</v>
      </c>
      <c r="O3013" s="50"/>
      <c r="P3013" s="49"/>
      <c r="Q3013" s="49"/>
      <c r="R3013" s="49"/>
      <c r="S3013" s="49"/>
      <c r="T3013" s="49"/>
      <c r="U3013" s="49"/>
      <c r="V3013" s="49"/>
    </row>
    <row r="3014" spans="1:22">
      <c r="A3014" s="2"/>
      <c r="B3014" s="2"/>
      <c r="C3014" s="2"/>
      <c r="D3014" s="48">
        <v>4</v>
      </c>
      <c r="E3014" s="48" t="s">
        <v>15</v>
      </c>
      <c r="F3014" s="6">
        <v>4</v>
      </c>
      <c r="G3014" s="50"/>
      <c r="H3014" s="50"/>
      <c r="I3014" s="50"/>
      <c r="J3014" s="50"/>
      <c r="K3014" s="50"/>
      <c r="L3014" s="50"/>
      <c r="M3014" s="50"/>
      <c r="N3014" s="50"/>
      <c r="O3014" s="50"/>
      <c r="P3014" s="49"/>
      <c r="Q3014" s="49"/>
      <c r="R3014" s="49"/>
      <c r="S3014" s="49"/>
      <c r="T3014" s="49"/>
      <c r="U3014" s="49"/>
      <c r="V3014" s="49"/>
    </row>
    <row r="3015" spans="1:22">
      <c r="A3015" s="2"/>
      <c r="B3015" s="2"/>
      <c r="C3015" s="2"/>
      <c r="D3015" s="49">
        <v>18</v>
      </c>
      <c r="E3015" s="49" t="s">
        <v>111</v>
      </c>
      <c r="F3015" s="50">
        <v>10</v>
      </c>
      <c r="G3015" s="50">
        <v>480</v>
      </c>
      <c r="H3015" s="50">
        <v>330</v>
      </c>
      <c r="I3015" s="50">
        <v>5</v>
      </c>
      <c r="J3015" s="50">
        <f>H3015</f>
        <v>330</v>
      </c>
      <c r="K3015" s="50"/>
      <c r="L3015" s="50"/>
      <c r="M3015" s="50"/>
      <c r="N3015" s="50"/>
      <c r="O3015" s="50"/>
      <c r="P3015" s="49"/>
      <c r="Q3015" s="49"/>
      <c r="R3015" s="49"/>
      <c r="S3015" s="49"/>
      <c r="T3015" s="49"/>
      <c r="U3015" s="49"/>
      <c r="V3015" s="49"/>
    </row>
    <row r="3016" spans="1:22">
      <c r="A3016" s="2"/>
      <c r="B3016" s="2"/>
      <c r="C3016" s="2"/>
      <c r="D3016" s="49">
        <f>ROUNDUP(6+F3016/2,0)</f>
        <v>8</v>
      </c>
      <c r="E3016" s="49" t="s">
        <v>6</v>
      </c>
      <c r="F3016" s="50">
        <f>LEN(G3016)</f>
        <v>4</v>
      </c>
      <c r="G3016" s="50" t="s">
        <v>326</v>
      </c>
      <c r="H3016" s="50">
        <v>314</v>
      </c>
      <c r="I3016" s="50">
        <v>205</v>
      </c>
      <c r="J3016" s="50"/>
      <c r="K3016" s="50"/>
      <c r="L3016" s="50"/>
      <c r="M3016" s="50"/>
      <c r="N3016" s="50"/>
      <c r="O3016" s="50"/>
      <c r="P3016" s="49"/>
      <c r="Q3016" s="49"/>
      <c r="R3016" s="49"/>
      <c r="S3016" s="49"/>
      <c r="T3016" s="49"/>
      <c r="U3016" s="49"/>
      <c r="V3016" s="49"/>
    </row>
    <row r="3017" spans="1:22">
      <c r="A3017" s="2"/>
      <c r="B3017" s="7"/>
      <c r="C3017" s="2"/>
      <c r="D3017" s="48">
        <v>28</v>
      </c>
      <c r="E3017" s="48" t="s">
        <v>12</v>
      </c>
      <c r="F3017" s="6">
        <v>24</v>
      </c>
      <c r="G3017" s="6">
        <v>0</v>
      </c>
      <c r="H3017" s="6">
        <v>0</v>
      </c>
      <c r="I3017" s="6">
        <v>0</v>
      </c>
      <c r="J3017" s="6">
        <v>700</v>
      </c>
      <c r="K3017" s="6">
        <v>0</v>
      </c>
      <c r="L3017" s="6">
        <v>0</v>
      </c>
      <c r="M3017" s="6">
        <v>0</v>
      </c>
      <c r="N3017" s="6">
        <v>0</v>
      </c>
      <c r="O3017" s="6" t="s">
        <v>19</v>
      </c>
      <c r="P3017" s="49"/>
      <c r="Q3017" s="49"/>
      <c r="R3017" s="49"/>
      <c r="S3017" s="49"/>
      <c r="T3017" s="49"/>
      <c r="U3017" s="49"/>
      <c r="V3017" s="49"/>
    </row>
    <row r="3018" spans="1:22">
      <c r="A3018" s="2"/>
      <c r="B3018" s="2"/>
      <c r="C3018" s="2"/>
      <c r="D3018" s="48">
        <v>4</v>
      </c>
      <c r="E3018" s="48" t="s">
        <v>15</v>
      </c>
      <c r="F3018" s="6">
        <v>5</v>
      </c>
      <c r="O3018" s="50"/>
      <c r="P3018" s="49"/>
      <c r="Q3018" s="49"/>
      <c r="R3018" s="49"/>
      <c r="S3018" s="49"/>
      <c r="T3018" s="49"/>
      <c r="U3018" s="49"/>
      <c r="V3018" s="49"/>
    </row>
    <row r="3019" spans="1:22">
      <c r="A3019" s="2"/>
      <c r="B3019" s="2"/>
      <c r="C3019" s="2"/>
      <c r="D3019" s="49">
        <f>ROUNDUP(6+F3019/2,0)</f>
        <v>7</v>
      </c>
      <c r="E3019" s="49" t="s">
        <v>6</v>
      </c>
      <c r="F3019" s="50">
        <f>LEN(G3019)</f>
        <v>1</v>
      </c>
      <c r="G3019" s="50" t="s">
        <v>21</v>
      </c>
      <c r="H3019" s="50">
        <f>H2993-30</f>
        <v>75</v>
      </c>
      <c r="I3019" s="50">
        <f>I2993-15</f>
        <v>460</v>
      </c>
      <c r="J3019" s="50"/>
      <c r="K3019" s="50"/>
      <c r="L3019" s="50"/>
      <c r="M3019" s="50"/>
      <c r="N3019" s="50"/>
      <c r="O3019" s="50"/>
      <c r="P3019" s="49"/>
      <c r="Q3019" s="49"/>
      <c r="R3019" s="49"/>
      <c r="S3019" s="49"/>
      <c r="T3019" s="49"/>
      <c r="U3019" s="49"/>
      <c r="V3019" s="49"/>
    </row>
    <row r="3020" spans="1:22">
      <c r="D3020" s="49">
        <f>ROUNDUP(6+F3020/2,0)</f>
        <v>7</v>
      </c>
      <c r="E3020" s="49" t="s">
        <v>6</v>
      </c>
      <c r="F3020" s="50">
        <f>LEN(G3020)</f>
        <v>1</v>
      </c>
      <c r="G3020" s="50" t="s">
        <v>320</v>
      </c>
      <c r="H3020" s="50">
        <f>H2988-30</f>
        <v>225</v>
      </c>
      <c r="I3020" s="50">
        <f>I2988-15</f>
        <v>460</v>
      </c>
      <c r="J3020" s="50"/>
      <c r="K3020" s="50"/>
      <c r="L3020" s="50"/>
      <c r="M3020" s="50"/>
      <c r="N3020" s="50"/>
      <c r="O3020" s="50"/>
      <c r="P3020" s="49"/>
      <c r="Q3020" s="49"/>
      <c r="R3020" s="49"/>
      <c r="S3020" s="49"/>
      <c r="T3020" s="49"/>
      <c r="U3020" s="49"/>
      <c r="V3020" s="49"/>
    </row>
    <row r="3023" spans="1:22">
      <c r="A3023" s="48" t="s">
        <v>383</v>
      </c>
      <c r="B3023" s="48" t="s">
        <v>779</v>
      </c>
      <c r="D3023" t="s">
        <v>449</v>
      </c>
      <c r="E3023">
        <v>52695</v>
      </c>
      <c r="F3023" s="6">
        <v>39622</v>
      </c>
      <c r="G3023" s="6">
        <v>0</v>
      </c>
      <c r="H3023" s="6">
        <v>0</v>
      </c>
      <c r="I3023" s="6">
        <v>0</v>
      </c>
      <c r="J3023" s="6">
        <v>710</v>
      </c>
      <c r="K3023" s="6">
        <v>280</v>
      </c>
      <c r="L3023" s="6">
        <v>192</v>
      </c>
      <c r="M3023" s="6">
        <v>0</v>
      </c>
      <c r="N3023" s="6">
        <v>0</v>
      </c>
      <c r="O3023" s="6" t="e">
        <f ca="1">checksummeint(G3023,H3023,I3023,J3023,K3023,L3023,M3023,N3023)</f>
        <v>#NAME?</v>
      </c>
    </row>
    <row r="3024" spans="1:22">
      <c r="D3024">
        <v>28</v>
      </c>
      <c r="E3024" t="s">
        <v>12</v>
      </c>
      <c r="F3024" s="6">
        <v>36</v>
      </c>
      <c r="G3024" s="6">
        <v>0</v>
      </c>
      <c r="H3024" s="6">
        <v>0</v>
      </c>
      <c r="I3024" s="6">
        <v>0</v>
      </c>
      <c r="J3024" s="6">
        <v>400</v>
      </c>
      <c r="K3024" s="6">
        <v>0</v>
      </c>
      <c r="L3024" s="6">
        <v>0</v>
      </c>
      <c r="M3024" s="6">
        <v>0</v>
      </c>
      <c r="N3024" s="6">
        <v>0</v>
      </c>
      <c r="O3024" s="6" t="s">
        <v>19</v>
      </c>
    </row>
    <row r="3025" spans="4:16">
      <c r="D3025">
        <v>8</v>
      </c>
      <c r="E3025" t="s">
        <v>14</v>
      </c>
      <c r="F3025" s="6">
        <v>0</v>
      </c>
      <c r="G3025" s="6">
        <v>2</v>
      </c>
      <c r="H3025" s="6">
        <v>0</v>
      </c>
      <c r="I3025" s="6">
        <v>0</v>
      </c>
      <c r="J3025" s="6">
        <v>0</v>
      </c>
    </row>
    <row r="3026" spans="4:16">
      <c r="D3026">
        <v>7</v>
      </c>
      <c r="E3026" t="s">
        <v>11</v>
      </c>
      <c r="F3026" s="6">
        <v>0</v>
      </c>
      <c r="G3026" s="6">
        <v>0</v>
      </c>
      <c r="H3026" s="6">
        <v>0</v>
      </c>
      <c r="I3026" s="6">
        <v>0</v>
      </c>
    </row>
    <row r="3027" spans="4:16">
      <c r="D3027">
        <v>4</v>
      </c>
      <c r="E3027" t="s">
        <v>15</v>
      </c>
      <c r="F3027" s="6">
        <v>0</v>
      </c>
    </row>
    <row r="3028" spans="4:16">
      <c r="D3028">
        <v>4</v>
      </c>
      <c r="E3028" t="s">
        <v>15</v>
      </c>
      <c r="F3028" s="6">
        <v>1</v>
      </c>
      <c r="G3028" s="24"/>
    </row>
    <row r="3029" spans="4:16">
      <c r="D3029">
        <v>4</v>
      </c>
      <c r="E3029" t="s">
        <v>15</v>
      </c>
      <c r="F3029" s="6">
        <v>2</v>
      </c>
    </row>
    <row r="3030" spans="4:16">
      <c r="D3030">
        <v>18</v>
      </c>
      <c r="E3030" t="s">
        <v>111</v>
      </c>
      <c r="F3030" s="6">
        <v>20</v>
      </c>
      <c r="G3030" s="6">
        <v>60</v>
      </c>
      <c r="H3030" s="6">
        <v>200</v>
      </c>
      <c r="I3030" s="6">
        <v>680</v>
      </c>
      <c r="J3030" s="6">
        <v>200</v>
      </c>
    </row>
    <row r="3031" spans="4:16">
      <c r="D3031">
        <v>18</v>
      </c>
      <c r="E3031" t="s">
        <v>111</v>
      </c>
      <c r="F3031" s="6">
        <v>20</v>
      </c>
      <c r="G3031" s="6">
        <v>70</v>
      </c>
      <c r="H3031" s="6">
        <v>210</v>
      </c>
      <c r="I3031" s="6">
        <v>70</v>
      </c>
      <c r="J3031" s="6">
        <v>10</v>
      </c>
    </row>
    <row r="3032" spans="4:16">
      <c r="D3032">
        <f>ROUNDUP(6+F3032/2,0)</f>
        <v>8</v>
      </c>
      <c r="E3032" t="s">
        <v>6</v>
      </c>
      <c r="F3032" s="6">
        <f>LEN(G3032)</f>
        <v>3</v>
      </c>
      <c r="G3032" s="6" t="s">
        <v>354</v>
      </c>
      <c r="H3032" s="6">
        <v>10</v>
      </c>
      <c r="I3032" s="6">
        <v>85</v>
      </c>
      <c r="J3032" s="6">
        <v>0</v>
      </c>
    </row>
    <row r="3033" spans="4:16">
      <c r="D3033">
        <f>ROUNDUP(6+F3033/2,0)</f>
        <v>7</v>
      </c>
      <c r="E3033" t="s">
        <v>6</v>
      </c>
      <c r="F3033" s="6">
        <f>LEN(G3033)</f>
        <v>1</v>
      </c>
      <c r="G3033" s="6" t="s">
        <v>22</v>
      </c>
      <c r="H3033" s="6">
        <v>180</v>
      </c>
      <c r="I3033" s="6">
        <v>685</v>
      </c>
    </row>
    <row r="3034" spans="4:16">
      <c r="D3034">
        <v>8</v>
      </c>
      <c r="E3034" t="s">
        <v>14</v>
      </c>
      <c r="F3034" s="6">
        <v>0</v>
      </c>
      <c r="G3034" s="6">
        <v>1</v>
      </c>
      <c r="H3034" s="6">
        <v>0</v>
      </c>
      <c r="I3034" s="6">
        <v>0</v>
      </c>
    </row>
    <row r="3035" spans="4:16">
      <c r="D3035">
        <v>4</v>
      </c>
      <c r="E3035" t="s">
        <v>15</v>
      </c>
      <c r="F3035" s="6">
        <v>3</v>
      </c>
    </row>
    <row r="3036" spans="4:16">
      <c r="D3036">
        <v>7</v>
      </c>
      <c r="E3036" t="s">
        <v>11</v>
      </c>
      <c r="F3036" s="6">
        <v>0</v>
      </c>
      <c r="G3036" s="6">
        <f>255*256+192</f>
        <v>65472</v>
      </c>
      <c r="H3036" s="6">
        <v>192</v>
      </c>
      <c r="I3036" s="6">
        <v>0</v>
      </c>
    </row>
    <row r="3037" spans="4:16">
      <c r="D3037">
        <v>4</v>
      </c>
      <c r="E3037" t="s">
        <v>15</v>
      </c>
      <c r="F3037" s="6">
        <v>4</v>
      </c>
    </row>
    <row r="3038" spans="4:16">
      <c r="D3038" s="2">
        <f>F3038*2+4</f>
        <v>14</v>
      </c>
      <c r="E3038" s="2" t="s">
        <v>4</v>
      </c>
      <c r="F3038" s="24">
        <v>5</v>
      </c>
      <c r="G3038" s="6">
        <v>70</v>
      </c>
      <c r="H3038" s="6">
        <v>200</v>
      </c>
      <c r="I3038" s="24">
        <v>70</v>
      </c>
      <c r="J3038" s="24">
        <v>140</v>
      </c>
      <c r="K3038" s="6">
        <v>298</v>
      </c>
      <c r="L3038" s="6">
        <v>140</v>
      </c>
      <c r="M3038" s="6">
        <v>640</v>
      </c>
      <c r="N3038" s="6">
        <v>50</v>
      </c>
      <c r="O3038" s="6">
        <f>M3038</f>
        <v>640</v>
      </c>
      <c r="P3038">
        <f>H3038</f>
        <v>200</v>
      </c>
    </row>
    <row r="3039" spans="4:16">
      <c r="D3039">
        <v>4</v>
      </c>
      <c r="E3039" t="s">
        <v>15</v>
      </c>
      <c r="F3039" s="6">
        <v>2</v>
      </c>
    </row>
    <row r="3040" spans="4:16">
      <c r="D3040">
        <f>ROUNDUP(6+F3040/2,0)</f>
        <v>8</v>
      </c>
      <c r="E3040" t="s">
        <v>6</v>
      </c>
      <c r="F3040" s="6">
        <f>LEN(G3040)</f>
        <v>3</v>
      </c>
      <c r="G3040" s="6" t="s">
        <v>26</v>
      </c>
      <c r="H3040" s="6">
        <f>H3044-36</f>
        <v>204</v>
      </c>
      <c r="I3040" s="6">
        <f>(K3044+G3044)/2-16</f>
        <v>168</v>
      </c>
    </row>
    <row r="3041" spans="1:51">
      <c r="D3041">
        <f>ROUNDUP(6+F3041/2,0)</f>
        <v>8</v>
      </c>
      <c r="E3041" t="s">
        <v>6</v>
      </c>
      <c r="F3041" s="6">
        <f>LEN(G3041)</f>
        <v>3</v>
      </c>
      <c r="G3041" s="6" t="s">
        <v>27</v>
      </c>
      <c r="H3041" s="6">
        <f>H3044-36</f>
        <v>204</v>
      </c>
      <c r="I3041" s="6">
        <f>(K3044+I3044)/2-16</f>
        <v>453</v>
      </c>
    </row>
    <row r="3042" spans="1:51">
      <c r="D3042">
        <f>ROUNDUP(6+F3042/2,0)</f>
        <v>11</v>
      </c>
      <c r="E3042" t="s">
        <v>6</v>
      </c>
      <c r="F3042" s="6">
        <f>LEN(G3042)</f>
        <v>9</v>
      </c>
      <c r="G3042" s="6" t="s">
        <v>356</v>
      </c>
      <c r="H3042" s="6">
        <f>H3040+40</f>
        <v>244</v>
      </c>
      <c r="I3042" s="6">
        <v>140</v>
      </c>
    </row>
    <row r="3043" spans="1:51">
      <c r="D3043">
        <f>ROUNDUP(6+F3043/2,0)</f>
        <v>11</v>
      </c>
      <c r="E3043" t="s">
        <v>6</v>
      </c>
      <c r="F3043" s="6">
        <f>LEN(G3043)</f>
        <v>10</v>
      </c>
      <c r="G3043" s="6" t="s">
        <v>357</v>
      </c>
      <c r="H3043" s="6">
        <f>H3041+40</f>
        <v>244</v>
      </c>
      <c r="I3043" s="6">
        <v>420</v>
      </c>
    </row>
    <row r="3044" spans="1:51">
      <c r="D3044">
        <v>64</v>
      </c>
      <c r="E3044" t="s">
        <v>114</v>
      </c>
      <c r="F3044" s="6">
        <v>20</v>
      </c>
      <c r="G3044" s="24">
        <v>70</v>
      </c>
      <c r="H3044" s="24">
        <v>240</v>
      </c>
      <c r="I3044" s="24">
        <v>640</v>
      </c>
      <c r="J3044" s="24">
        <v>240</v>
      </c>
      <c r="K3044" s="24">
        <v>298</v>
      </c>
      <c r="L3044" s="24">
        <v>240</v>
      </c>
    </row>
    <row r="3045" spans="1:51">
      <c r="D3045" s="2">
        <f>F3045*2+4</f>
        <v>8</v>
      </c>
      <c r="E3045" s="2" t="s">
        <v>1</v>
      </c>
      <c r="F3045" s="24">
        <v>2</v>
      </c>
      <c r="G3045" s="24">
        <v>60</v>
      </c>
      <c r="H3045" s="24">
        <v>140</v>
      </c>
      <c r="I3045" s="24">
        <v>80</v>
      </c>
      <c r="J3045" s="24">
        <f>H3045</f>
        <v>140</v>
      </c>
    </row>
    <row r="3046" spans="1:51">
      <c r="D3046" s="2">
        <f>F3046*2+4</f>
        <v>8</v>
      </c>
      <c r="E3046" s="2" t="s">
        <v>1</v>
      </c>
      <c r="F3046" s="24">
        <v>2</v>
      </c>
      <c r="G3046" s="24">
        <v>60</v>
      </c>
      <c r="H3046" s="24">
        <v>50</v>
      </c>
      <c r="I3046" s="24">
        <v>80</v>
      </c>
      <c r="J3046" s="24">
        <f>H3046</f>
        <v>50</v>
      </c>
    </row>
    <row r="3047" spans="1:51">
      <c r="D3047">
        <f>ROUNDUP(6+F3047/2,0)</f>
        <v>7</v>
      </c>
      <c r="E3047" t="s">
        <v>6</v>
      </c>
      <c r="F3047" s="6">
        <f>LEN(G3047)</f>
        <v>1</v>
      </c>
      <c r="G3047" s="6" t="s">
        <v>22</v>
      </c>
      <c r="H3047" s="6">
        <v>35</v>
      </c>
      <c r="I3047" s="6">
        <v>20</v>
      </c>
    </row>
    <row r="3048" spans="1:51">
      <c r="D3048">
        <f>ROUNDUP(6+F3048/2,0)</f>
        <v>7</v>
      </c>
      <c r="E3048" t="s">
        <v>6</v>
      </c>
      <c r="F3048" s="6">
        <f>LEN(G3048)</f>
        <v>2</v>
      </c>
      <c r="G3048" s="6" t="s">
        <v>355</v>
      </c>
      <c r="H3048" s="6">
        <v>125</v>
      </c>
      <c r="I3048" s="6">
        <v>20</v>
      </c>
      <c r="J3048" s="24"/>
    </row>
    <row r="3051" spans="1:51">
      <c r="A3051" s="48" t="s">
        <v>383</v>
      </c>
      <c r="B3051" s="1" t="s">
        <v>780</v>
      </c>
      <c r="D3051" s="48" t="s">
        <v>449</v>
      </c>
      <c r="E3051" s="48">
        <v>52695</v>
      </c>
      <c r="F3051" s="6">
        <v>39622</v>
      </c>
      <c r="G3051" s="6">
        <v>0</v>
      </c>
      <c r="H3051" s="6">
        <v>0</v>
      </c>
      <c r="I3051" s="6">
        <v>0</v>
      </c>
      <c r="J3051" s="6">
        <v>10500</v>
      </c>
      <c r="K3051" s="6">
        <v>3350</v>
      </c>
      <c r="L3051" s="6">
        <v>1920</v>
      </c>
      <c r="M3051" s="6">
        <v>0</v>
      </c>
      <c r="N3051" s="6">
        <v>0</v>
      </c>
      <c r="O3051" s="6" t="e">
        <f ca="1">checksummeint(G3051,H3051,I3051,J3051,K3051,L3051,M3051,N3051)</f>
        <v>#NAME?</v>
      </c>
      <c r="P3051" s="48"/>
      <c r="Q3051" s="48"/>
      <c r="R3051" s="48"/>
      <c r="S3051" s="48"/>
      <c r="T3051" s="49"/>
      <c r="U3051" s="49"/>
      <c r="V3051" s="48"/>
      <c r="W3051" s="48"/>
      <c r="X3051" s="48"/>
      <c r="Y3051" s="48"/>
      <c r="Z3051" s="48"/>
      <c r="AA3051" s="48"/>
      <c r="AB3051" s="48"/>
      <c r="AC3051" s="48"/>
      <c r="AD3051" s="48"/>
      <c r="AE3051" s="48"/>
      <c r="AF3051" s="48"/>
      <c r="AG3051" s="48"/>
      <c r="AH3051" s="48"/>
      <c r="AI3051" s="48"/>
      <c r="AJ3051" s="48"/>
      <c r="AK3051" s="48"/>
      <c r="AL3051" s="48"/>
      <c r="AM3051" s="48"/>
      <c r="AN3051" s="48"/>
      <c r="AO3051" s="48"/>
      <c r="AP3051" s="48"/>
      <c r="AQ3051" s="48"/>
      <c r="AR3051" s="48"/>
      <c r="AS3051" s="48"/>
      <c r="AT3051" s="48"/>
      <c r="AU3051" s="48"/>
      <c r="AV3051" s="48"/>
      <c r="AW3051" s="48"/>
      <c r="AX3051" s="48"/>
      <c r="AY3051" s="48"/>
    </row>
    <row r="3052" spans="1:51">
      <c r="B3052" s="48" t="s">
        <v>361</v>
      </c>
      <c r="D3052" s="48">
        <v>28</v>
      </c>
      <c r="E3052" s="48" t="s">
        <v>12</v>
      </c>
      <c r="F3052" s="6">
        <v>360</v>
      </c>
      <c r="G3052" s="6">
        <v>0</v>
      </c>
      <c r="H3052" s="6">
        <v>0</v>
      </c>
      <c r="I3052" s="6">
        <v>0</v>
      </c>
      <c r="J3052" s="6">
        <v>400</v>
      </c>
      <c r="K3052" s="6">
        <v>0</v>
      </c>
      <c r="L3052" s="6">
        <v>0</v>
      </c>
      <c r="M3052" s="6">
        <v>0</v>
      </c>
      <c r="N3052" s="6">
        <v>0</v>
      </c>
      <c r="O3052" s="6" t="s">
        <v>19</v>
      </c>
      <c r="P3052" s="48"/>
      <c r="Q3052" s="48"/>
      <c r="R3052" s="48"/>
      <c r="S3052" s="48"/>
      <c r="T3052" s="49"/>
      <c r="U3052" s="49"/>
      <c r="V3052" s="48"/>
      <c r="W3052" s="48"/>
      <c r="X3052" s="48"/>
      <c r="Y3052" s="48"/>
      <c r="Z3052" s="48"/>
      <c r="AA3052" s="48"/>
      <c r="AB3052" s="48"/>
      <c r="AC3052" s="48"/>
      <c r="AD3052" s="48"/>
      <c r="AE3052" s="48"/>
      <c r="AF3052" s="48"/>
      <c r="AG3052" s="48"/>
      <c r="AH3052" s="48"/>
      <c r="AI3052" s="48"/>
      <c r="AJ3052" s="48"/>
      <c r="AK3052" s="48"/>
      <c r="AL3052" s="48"/>
      <c r="AM3052" s="48"/>
      <c r="AN3052" s="48"/>
      <c r="AO3052" s="48"/>
      <c r="AP3052" s="48"/>
      <c r="AQ3052" s="48"/>
      <c r="AR3052" s="48"/>
      <c r="AS3052" s="48"/>
      <c r="AT3052" s="48"/>
      <c r="AU3052" s="48"/>
      <c r="AV3052" s="48"/>
      <c r="AW3052" s="48"/>
      <c r="AX3052" s="49"/>
      <c r="AY3052" s="49"/>
    </row>
    <row r="3053" spans="1:51">
      <c r="D3053" s="48">
        <v>5</v>
      </c>
      <c r="E3053" s="48" t="s">
        <v>59</v>
      </c>
      <c r="F3053" s="6">
        <v>1</v>
      </c>
      <c r="G3053" s="6">
        <v>0</v>
      </c>
      <c r="P3053" s="48"/>
      <c r="Q3053" s="48"/>
      <c r="R3053" s="48"/>
      <c r="S3053" s="48"/>
      <c r="T3053" s="49"/>
      <c r="U3053" s="49"/>
      <c r="V3053" s="48"/>
      <c r="W3053" s="48"/>
      <c r="X3053" s="48"/>
      <c r="Y3053" s="48"/>
      <c r="Z3053" s="48"/>
      <c r="AA3053" s="48"/>
      <c r="AB3053" s="48"/>
      <c r="AC3053" s="48"/>
      <c r="AD3053" s="48"/>
      <c r="AE3053" s="48"/>
      <c r="AF3053" s="48"/>
      <c r="AG3053" s="48"/>
      <c r="AH3053" s="48"/>
      <c r="AI3053" s="48"/>
      <c r="AJ3053" s="48"/>
      <c r="AK3053" s="48"/>
      <c r="AL3053" s="48"/>
      <c r="AM3053" s="48"/>
      <c r="AN3053" s="48"/>
      <c r="AO3053" s="48"/>
      <c r="AP3053" s="48"/>
      <c r="AQ3053" s="48"/>
      <c r="AR3053" s="48"/>
      <c r="AS3053" s="48"/>
      <c r="AT3053" s="48"/>
      <c r="AU3053" s="48"/>
      <c r="AV3053" s="48"/>
      <c r="AW3053" s="48"/>
      <c r="AX3053" s="49"/>
      <c r="AY3053" s="49"/>
    </row>
    <row r="3054" spans="1:51">
      <c r="D3054" s="48">
        <v>8</v>
      </c>
      <c r="E3054" s="48" t="s">
        <v>14</v>
      </c>
      <c r="F3054" s="6">
        <v>0</v>
      </c>
      <c r="G3054" s="6">
        <v>16</v>
      </c>
      <c r="H3054" s="6">
        <v>0</v>
      </c>
      <c r="I3054" s="6">
        <v>0</v>
      </c>
      <c r="J3054" s="6">
        <v>0</v>
      </c>
      <c r="M3054" s="44"/>
      <c r="N3054" s="45"/>
      <c r="O3054" s="46"/>
      <c r="P3054" s="48"/>
      <c r="Q3054" s="48"/>
      <c r="R3054" s="48"/>
      <c r="S3054" s="48"/>
      <c r="T3054" s="49"/>
      <c r="U3054" s="49"/>
      <c r="V3054" s="48"/>
      <c r="W3054" s="48"/>
      <c r="X3054" s="48"/>
      <c r="Y3054" s="48"/>
      <c r="Z3054" s="48"/>
      <c r="AA3054" s="48"/>
      <c r="AB3054" s="48"/>
      <c r="AC3054" s="48"/>
      <c r="AD3054" s="48"/>
      <c r="AE3054" s="48"/>
      <c r="AF3054" s="48"/>
      <c r="AG3054" s="48"/>
      <c r="AH3054" s="48"/>
      <c r="AI3054" s="48"/>
      <c r="AJ3054" s="48"/>
      <c r="AK3054" s="48"/>
      <c r="AL3054" s="48"/>
      <c r="AM3054" s="48"/>
      <c r="AN3054" s="48"/>
      <c r="AO3054" s="48"/>
      <c r="AP3054" s="48"/>
      <c r="AQ3054" s="48"/>
      <c r="AR3054" s="48"/>
      <c r="AS3054" s="48"/>
      <c r="AT3054" s="48"/>
      <c r="AU3054" s="48"/>
      <c r="AV3054" s="48"/>
      <c r="AW3054" s="48"/>
      <c r="AX3054" s="49"/>
      <c r="AY3054" s="49"/>
    </row>
    <row r="3055" spans="1:51">
      <c r="D3055" s="48">
        <v>7</v>
      </c>
      <c r="E3055" s="48" t="s">
        <v>11</v>
      </c>
      <c r="F3055" s="6">
        <v>0</v>
      </c>
      <c r="G3055" s="50">
        <f>255*256+192</f>
        <v>65472</v>
      </c>
      <c r="H3055" s="50">
        <v>192</v>
      </c>
      <c r="I3055" s="6">
        <v>0</v>
      </c>
      <c r="P3055" s="48"/>
      <c r="Q3055" s="48"/>
      <c r="R3055" s="48"/>
      <c r="S3055" s="48"/>
      <c r="T3055" s="49"/>
      <c r="U3055" s="49"/>
      <c r="V3055" s="48"/>
      <c r="W3055" s="48"/>
      <c r="X3055" s="48"/>
      <c r="Y3055" s="48"/>
      <c r="Z3055" s="48"/>
      <c r="AA3055" s="48"/>
      <c r="AB3055" s="48"/>
      <c r="AC3055" s="48"/>
      <c r="AD3055" s="48"/>
      <c r="AE3055" s="48"/>
      <c r="AF3055" s="48"/>
      <c r="AG3055" s="48"/>
      <c r="AH3055" s="48"/>
      <c r="AI3055" s="48"/>
      <c r="AJ3055" s="48"/>
      <c r="AK3055" s="48"/>
      <c r="AL3055" s="48"/>
      <c r="AM3055" s="48"/>
      <c r="AN3055" s="48"/>
      <c r="AO3055" s="48"/>
      <c r="AP3055" s="48"/>
      <c r="AQ3055" s="48"/>
      <c r="AR3055" s="48"/>
      <c r="AS3055" s="48"/>
      <c r="AT3055" s="48"/>
      <c r="AU3055" s="48"/>
      <c r="AV3055" s="48"/>
      <c r="AW3055" s="48"/>
      <c r="AX3055" s="49"/>
      <c r="AY3055" s="49"/>
    </row>
    <row r="3056" spans="1:51">
      <c r="D3056" s="48">
        <v>7</v>
      </c>
      <c r="E3056" s="48" t="s">
        <v>11</v>
      </c>
      <c r="F3056" s="6">
        <v>0</v>
      </c>
      <c r="G3056" s="6">
        <v>0</v>
      </c>
      <c r="H3056" s="6">
        <v>0</v>
      </c>
      <c r="I3056" s="6">
        <v>0</v>
      </c>
      <c r="P3056" s="48"/>
      <c r="Q3056" s="48"/>
      <c r="R3056" s="48"/>
      <c r="S3056" s="48"/>
      <c r="T3056" s="49"/>
      <c r="U3056" s="49"/>
      <c r="V3056" s="48"/>
      <c r="W3056" s="48"/>
      <c r="X3056" s="48"/>
      <c r="Y3056" s="48"/>
      <c r="Z3056" s="48"/>
      <c r="AA3056" s="48"/>
      <c r="AB3056" s="48"/>
      <c r="AC3056" s="48"/>
      <c r="AD3056" s="48"/>
      <c r="AE3056" s="48"/>
      <c r="AF3056" s="48"/>
      <c r="AG3056" s="48"/>
      <c r="AH3056" s="48"/>
      <c r="AI3056" s="48"/>
      <c r="AJ3056" s="48"/>
      <c r="AK3056" s="48"/>
      <c r="AL3056" s="48"/>
      <c r="AM3056" s="48"/>
      <c r="AN3056" s="48"/>
      <c r="AO3056" s="48"/>
      <c r="AP3056" s="48"/>
      <c r="AQ3056" s="48"/>
      <c r="AR3056" s="48"/>
      <c r="AS3056" s="48"/>
      <c r="AT3056" s="48"/>
      <c r="AU3056" s="48"/>
      <c r="AV3056" s="48"/>
      <c r="AW3056" s="48"/>
      <c r="AX3056" s="49"/>
      <c r="AY3056" s="49"/>
    </row>
    <row r="3057" spans="2:51">
      <c r="D3057" s="48">
        <v>8</v>
      </c>
      <c r="E3057" s="48" t="s">
        <v>14</v>
      </c>
      <c r="F3057" s="6">
        <v>0</v>
      </c>
      <c r="G3057" s="6">
        <v>16</v>
      </c>
      <c r="H3057" s="6">
        <v>0</v>
      </c>
      <c r="I3057" s="50">
        <f>255*256</f>
        <v>65280</v>
      </c>
      <c r="J3057" s="50">
        <v>0</v>
      </c>
      <c r="P3057" s="48"/>
      <c r="Q3057" s="48"/>
      <c r="R3057" s="48"/>
      <c r="S3057" s="48"/>
      <c r="T3057" s="49"/>
      <c r="U3057" s="49"/>
      <c r="V3057" s="48"/>
      <c r="W3057" s="48"/>
      <c r="X3057" s="48"/>
      <c r="Y3057" s="48"/>
      <c r="Z3057" s="48"/>
      <c r="AA3057" s="48"/>
      <c r="AB3057" s="48"/>
      <c r="AC3057" s="48"/>
      <c r="AD3057" s="48"/>
      <c r="AE3057" s="48"/>
      <c r="AF3057" s="48"/>
      <c r="AG3057" s="48"/>
      <c r="AH3057" s="48"/>
      <c r="AI3057" s="48"/>
      <c r="AJ3057" s="48"/>
      <c r="AK3057" s="48"/>
      <c r="AL3057" s="48"/>
      <c r="AM3057" s="48"/>
      <c r="AN3057" s="48"/>
      <c r="AO3057" s="48"/>
      <c r="AP3057" s="48"/>
      <c r="AQ3057" s="48"/>
      <c r="AR3057" s="48"/>
      <c r="AS3057" s="48"/>
      <c r="AT3057" s="48"/>
      <c r="AU3057" s="48"/>
      <c r="AV3057" s="48"/>
      <c r="AW3057" s="48"/>
      <c r="AX3057" s="49"/>
      <c r="AY3057" s="49"/>
    </row>
    <row r="3058" spans="2:51">
      <c r="D3058" s="48">
        <v>7</v>
      </c>
      <c r="E3058" s="48" t="s">
        <v>11</v>
      </c>
      <c r="F3058" s="6">
        <v>0</v>
      </c>
      <c r="G3058" s="50">
        <f>255*256+240</f>
        <v>65520</v>
      </c>
      <c r="H3058" s="50">
        <v>240</v>
      </c>
      <c r="I3058" s="6">
        <v>0</v>
      </c>
      <c r="J3058" s="50"/>
      <c r="P3058" s="48"/>
      <c r="Q3058" s="48"/>
      <c r="R3058" s="48"/>
      <c r="S3058" s="48"/>
      <c r="T3058" s="49"/>
      <c r="U3058" s="49"/>
      <c r="V3058" s="48"/>
      <c r="W3058" s="48"/>
      <c r="X3058" s="48"/>
      <c r="Y3058" s="48"/>
      <c r="Z3058" s="48"/>
      <c r="AA3058" s="48"/>
      <c r="AB3058" s="48"/>
      <c r="AC3058" s="48"/>
      <c r="AD3058" s="48"/>
      <c r="AE3058" s="48"/>
      <c r="AF3058" s="48"/>
      <c r="AG3058" s="48"/>
      <c r="AH3058" s="48"/>
      <c r="AI3058" s="48"/>
      <c r="AJ3058" s="48"/>
      <c r="AK3058" s="48"/>
      <c r="AL3058" s="48"/>
      <c r="AM3058" s="48"/>
      <c r="AN3058" s="48"/>
      <c r="AO3058" s="48"/>
      <c r="AP3058" s="48"/>
      <c r="AQ3058" s="48"/>
      <c r="AR3058" s="48"/>
      <c r="AS3058" s="48"/>
      <c r="AT3058" s="48"/>
      <c r="AU3058" s="48"/>
      <c r="AV3058" s="48"/>
      <c r="AW3058" s="48"/>
      <c r="AX3058" s="49"/>
      <c r="AY3058" s="49"/>
    </row>
    <row r="3059" spans="2:51">
      <c r="B3059" s="4"/>
      <c r="D3059" s="48">
        <v>4</v>
      </c>
      <c r="E3059" s="48" t="s">
        <v>15</v>
      </c>
      <c r="F3059" s="6">
        <v>0</v>
      </c>
      <c r="G3059" s="50"/>
      <c r="P3059" s="48"/>
      <c r="Q3059" s="48"/>
      <c r="R3059" s="48"/>
      <c r="S3059" s="48"/>
      <c r="T3059" s="49"/>
      <c r="U3059" s="49"/>
      <c r="V3059" s="48"/>
      <c r="W3059" s="48"/>
      <c r="X3059" s="48"/>
      <c r="Y3059" s="48"/>
      <c r="Z3059" s="48"/>
      <c r="AA3059" s="48"/>
      <c r="AB3059" s="48"/>
      <c r="AC3059" s="48"/>
      <c r="AD3059" s="48"/>
      <c r="AE3059" s="48"/>
      <c r="AF3059" s="48"/>
      <c r="AG3059" s="48"/>
      <c r="AH3059" s="48"/>
      <c r="AI3059" s="48"/>
      <c r="AJ3059" s="48"/>
      <c r="AK3059" s="48"/>
      <c r="AL3059" s="48"/>
      <c r="AM3059" s="48"/>
      <c r="AN3059" s="48"/>
      <c r="AO3059" s="48"/>
      <c r="AP3059" s="48"/>
      <c r="AQ3059" s="48"/>
      <c r="AR3059" s="48"/>
      <c r="AS3059" s="48"/>
      <c r="AT3059" s="48"/>
      <c r="AU3059" s="48"/>
      <c r="AV3059" s="48"/>
      <c r="AW3059" s="48"/>
      <c r="AX3059" s="49"/>
      <c r="AY3059" s="49"/>
    </row>
    <row r="3060" spans="2:51">
      <c r="B3060" s="4"/>
      <c r="D3060" s="48">
        <v>4</v>
      </c>
      <c r="E3060" s="48" t="s">
        <v>15</v>
      </c>
      <c r="F3060" s="6">
        <v>4</v>
      </c>
      <c r="G3060" s="50"/>
      <c r="P3060" s="48"/>
      <c r="Q3060" s="48"/>
      <c r="R3060" s="48"/>
      <c r="S3060" s="48"/>
      <c r="T3060" s="49"/>
      <c r="U3060" s="49"/>
      <c r="V3060" s="48"/>
      <c r="W3060" s="48"/>
      <c r="X3060" s="48"/>
      <c r="Y3060" s="48"/>
      <c r="Z3060" s="48"/>
      <c r="AA3060" s="48"/>
      <c r="AB3060" s="48"/>
      <c r="AC3060" s="48"/>
      <c r="AD3060" s="48"/>
      <c r="AE3060" s="48"/>
      <c r="AF3060" s="48"/>
      <c r="AG3060" s="48"/>
      <c r="AH3060" s="48"/>
      <c r="AI3060" s="48"/>
      <c r="AJ3060" s="48"/>
      <c r="AK3060" s="48"/>
      <c r="AL3060" s="48"/>
      <c r="AM3060" s="48"/>
      <c r="AN3060" s="48"/>
      <c r="AO3060" s="48"/>
      <c r="AP3060" s="48"/>
      <c r="AQ3060" s="48"/>
      <c r="AR3060" s="48"/>
      <c r="AS3060" s="48"/>
      <c r="AT3060" s="48"/>
      <c r="AU3060" s="48"/>
      <c r="AV3060" s="48"/>
      <c r="AW3060" s="48"/>
      <c r="AX3060" s="49"/>
      <c r="AY3060" s="49"/>
    </row>
    <row r="3061" spans="2:51">
      <c r="B3061" s="4"/>
      <c r="D3061" s="48">
        <v>4</v>
      </c>
      <c r="E3061" s="48" t="s">
        <v>15</v>
      </c>
      <c r="F3061" s="6">
        <v>5</v>
      </c>
      <c r="G3061" s="50"/>
      <c r="P3061" s="48"/>
      <c r="Q3061" s="48"/>
      <c r="R3061" s="49"/>
      <c r="S3061" s="49"/>
      <c r="T3061" s="49"/>
      <c r="U3061" s="49"/>
      <c r="V3061" s="49"/>
      <c r="W3061" s="49"/>
      <c r="X3061" s="49"/>
      <c r="Y3061" s="49"/>
      <c r="Z3061" s="49"/>
      <c r="AA3061" s="49"/>
      <c r="AB3061" s="49"/>
      <c r="AC3061" s="49"/>
      <c r="AD3061" s="49"/>
      <c r="AE3061" s="49"/>
      <c r="AF3061" s="49"/>
      <c r="AG3061" s="49"/>
      <c r="AH3061" s="49"/>
      <c r="AI3061" s="49"/>
      <c r="AJ3061" s="49"/>
      <c r="AK3061" s="49"/>
      <c r="AL3061" s="49"/>
      <c r="AM3061" s="49"/>
      <c r="AN3061" s="49"/>
      <c r="AO3061" s="49"/>
      <c r="AP3061" s="49"/>
      <c r="AQ3061" s="49"/>
      <c r="AR3061" s="49"/>
      <c r="AS3061" s="49"/>
      <c r="AT3061" s="49"/>
      <c r="AU3061" s="49"/>
      <c r="AV3061" s="48"/>
      <c r="AW3061" s="48"/>
      <c r="AX3061" s="49"/>
      <c r="AY3061" s="49"/>
    </row>
    <row r="3062" spans="2:51">
      <c r="B3062" s="4"/>
      <c r="D3062" s="49">
        <f>F3062*2+4</f>
        <v>10</v>
      </c>
      <c r="E3062" s="49" t="s">
        <v>4</v>
      </c>
      <c r="F3062" s="6">
        <v>3</v>
      </c>
      <c r="G3062" s="50">
        <v>5359</v>
      </c>
      <c r="H3062" s="6">
        <v>1429</v>
      </c>
      <c r="I3062" s="6">
        <v>700</v>
      </c>
      <c r="J3062" s="6">
        <v>2500</v>
      </c>
      <c r="K3062" s="6">
        <f>I3062</f>
        <v>700</v>
      </c>
      <c r="L3062" s="6">
        <f>H3062</f>
        <v>1429</v>
      </c>
      <c r="P3062" s="48"/>
      <c r="Q3062" s="48"/>
      <c r="R3062" s="49"/>
      <c r="S3062" s="49"/>
      <c r="T3062" s="49"/>
      <c r="U3062" s="49"/>
      <c r="V3062" s="49"/>
      <c r="W3062" s="49"/>
      <c r="X3062" s="49"/>
      <c r="Y3062" s="49"/>
      <c r="Z3062" s="49"/>
      <c r="AA3062" s="49"/>
      <c r="AB3062" s="49"/>
      <c r="AC3062" s="49"/>
      <c r="AD3062" s="49"/>
      <c r="AE3062" s="49"/>
      <c r="AF3062" s="49"/>
      <c r="AG3062" s="49"/>
      <c r="AH3062" s="49"/>
      <c r="AI3062" s="49"/>
      <c r="AJ3062" s="49"/>
      <c r="AK3062" s="49"/>
      <c r="AL3062" s="49"/>
      <c r="AM3062" s="49"/>
      <c r="AN3062" s="49"/>
      <c r="AO3062" s="49"/>
      <c r="AP3062" s="49"/>
      <c r="AQ3062" s="49"/>
      <c r="AR3062" s="49"/>
      <c r="AS3062" s="49"/>
      <c r="AT3062" s="49"/>
      <c r="AU3062" s="49"/>
      <c r="AV3062" s="48"/>
      <c r="AW3062" s="48"/>
      <c r="AX3062" s="49"/>
      <c r="AY3062" s="49"/>
    </row>
    <row r="3063" spans="2:51">
      <c r="B3063" s="4"/>
      <c r="D3063" s="48">
        <v>4</v>
      </c>
      <c r="E3063" s="48" t="s">
        <v>15</v>
      </c>
      <c r="F3063" s="6">
        <v>1</v>
      </c>
      <c r="G3063" s="50"/>
      <c r="P3063" s="48"/>
      <c r="Q3063" s="48"/>
      <c r="R3063" s="49"/>
      <c r="S3063" s="49"/>
      <c r="T3063" s="49"/>
      <c r="U3063" s="49"/>
      <c r="V3063" s="49"/>
      <c r="W3063" s="49"/>
      <c r="X3063" s="49"/>
      <c r="Y3063" s="49"/>
      <c r="Z3063" s="49"/>
      <c r="AA3063" s="49"/>
      <c r="AB3063" s="49"/>
      <c r="AC3063" s="49"/>
      <c r="AD3063" s="49"/>
      <c r="AE3063" s="49"/>
      <c r="AF3063" s="49"/>
      <c r="AG3063" s="49"/>
      <c r="AH3063" s="49"/>
      <c r="AI3063" s="49"/>
      <c r="AJ3063" s="49"/>
      <c r="AK3063" s="49"/>
      <c r="AL3063" s="49"/>
      <c r="AM3063" s="49"/>
      <c r="AN3063" s="49"/>
      <c r="AO3063" s="49"/>
      <c r="AP3063" s="49"/>
      <c r="AQ3063" s="49"/>
      <c r="AR3063" s="49"/>
      <c r="AS3063" s="49"/>
      <c r="AT3063" s="49"/>
      <c r="AU3063" s="49"/>
      <c r="AV3063" s="48"/>
      <c r="AW3063" s="48"/>
      <c r="AX3063" s="49"/>
      <c r="AY3063" s="49"/>
    </row>
    <row r="3064" spans="2:51">
      <c r="B3064" s="4"/>
      <c r="D3064" s="48"/>
      <c r="E3064" s="48" t="s">
        <v>113</v>
      </c>
      <c r="F3064" s="6">
        <v>200</v>
      </c>
      <c r="G3064" s="50">
        <v>700</v>
      </c>
      <c r="H3064" s="50">
        <v>2500</v>
      </c>
      <c r="I3064" s="50">
        <v>9700</v>
      </c>
      <c r="J3064" s="50">
        <v>500</v>
      </c>
      <c r="K3064" s="50" t="s">
        <v>22</v>
      </c>
      <c r="L3064" s="50">
        <v>0</v>
      </c>
      <c r="M3064" s="49">
        <v>0</v>
      </c>
      <c r="N3064" s="49">
        <v>33</v>
      </c>
      <c r="O3064" s="50">
        <v>0</v>
      </c>
      <c r="P3064" s="49">
        <v>0</v>
      </c>
      <c r="Q3064" s="49">
        <v>3</v>
      </c>
      <c r="R3064" s="49">
        <v>0</v>
      </c>
      <c r="S3064" s="49">
        <v>0</v>
      </c>
      <c r="T3064" s="49">
        <v>0.58384759311914469</v>
      </c>
      <c r="U3064" s="49">
        <v>1.2523527006602377</v>
      </c>
      <c r="V3064" s="49">
        <v>1.9870261088418961</v>
      </c>
      <c r="W3064" s="49">
        <v>2.7636760123538933</v>
      </c>
      <c r="X3064" s="48">
        <v>3.6137898906588624</v>
      </c>
      <c r="Y3064" s="48">
        <v>4.4919612620234748</v>
      </c>
      <c r="Z3064" s="48">
        <v>5.416899339079861</v>
      </c>
      <c r="AA3064" s="48">
        <v>6.40726054319145</v>
      </c>
      <c r="AB3064" s="48">
        <v>7.4548149167251365</v>
      </c>
      <c r="AC3064" s="48">
        <v>8.5806639558267257</v>
      </c>
      <c r="AD3064" s="48">
        <v>9.726533370621139</v>
      </c>
      <c r="AE3064" s="48">
        <v>10.962343080823453</v>
      </c>
      <c r="AF3064" s="48">
        <v>12.228302151772963</v>
      </c>
      <c r="AG3064" s="48">
        <v>13.599961596586756</v>
      </c>
      <c r="AH3064" s="48">
        <v>15.054458088045124</v>
      </c>
      <c r="AI3064" s="48">
        <v>16.597267652177845</v>
      </c>
      <c r="AJ3064" s="48">
        <v>18.202650513000371</v>
      </c>
      <c r="AK3064" s="48">
        <v>19.929186571340495</v>
      </c>
      <c r="AL3064" s="48">
        <v>21.773846314156128</v>
      </c>
      <c r="AM3064" s="48">
        <v>23.780877820219935</v>
      </c>
      <c r="AN3064" s="48">
        <v>25.93532580152749</v>
      </c>
      <c r="AO3064" s="48">
        <v>28.305166776213735</v>
      </c>
      <c r="AP3064" s="48">
        <v>30.909505150866401</v>
      </c>
      <c r="AQ3064" s="48">
        <v>33.833719032904945</v>
      </c>
      <c r="AR3064" s="48">
        <v>37.084770035126368</v>
      </c>
      <c r="AS3064" s="48">
        <v>40.963882821502793</v>
      </c>
      <c r="AT3064" s="48">
        <v>45.686036216075465</v>
      </c>
      <c r="AU3064" s="48">
        <v>52.034118621778454</v>
      </c>
      <c r="AV3064" s="48">
        <v>62.120681386966716</v>
      </c>
      <c r="AW3064" s="48">
        <v>120</v>
      </c>
      <c r="AX3064" s="48">
        <v>120</v>
      </c>
      <c r="AY3064" s="48">
        <v>0</v>
      </c>
    </row>
    <row r="3065" spans="2:51">
      <c r="B3065" s="4"/>
      <c r="D3065" s="49"/>
      <c r="E3065" s="48" t="s">
        <v>515</v>
      </c>
      <c r="F3065" s="50" t="s">
        <v>600</v>
      </c>
      <c r="G3065" s="6">
        <v>650</v>
      </c>
      <c r="H3065" s="6">
        <v>2600</v>
      </c>
      <c r="I3065" s="6">
        <v>5100</v>
      </c>
      <c r="J3065" s="6">
        <v>9500</v>
      </c>
      <c r="K3065" s="50" t="s">
        <v>359</v>
      </c>
      <c r="L3065" s="50"/>
      <c r="P3065" s="48"/>
      <c r="Q3065" s="50">
        <v>2</v>
      </c>
      <c r="R3065" s="49"/>
      <c r="S3065" s="49">
        <f>T3065</f>
        <v>0.58384759311914469</v>
      </c>
      <c r="T3065" s="49">
        <f t="shared" ref="T3065:AV3065" si="164">T3064/T3066</f>
        <v>0.58384759311914469</v>
      </c>
      <c r="U3065" s="49">
        <f t="shared" si="164"/>
        <v>0.62617635033011887</v>
      </c>
      <c r="V3065" s="49">
        <f t="shared" si="164"/>
        <v>0.66234203628063204</v>
      </c>
      <c r="W3065" s="49">
        <f t="shared" si="164"/>
        <v>0.69091900308847332</v>
      </c>
      <c r="X3065" s="49">
        <f t="shared" si="164"/>
        <v>0.72275797813177245</v>
      </c>
      <c r="Y3065" s="49">
        <f t="shared" si="164"/>
        <v>0.74866021033724583</v>
      </c>
      <c r="Z3065" s="49">
        <f t="shared" si="164"/>
        <v>0.77384276272569441</v>
      </c>
      <c r="AA3065" s="49">
        <f t="shared" si="164"/>
        <v>0.80090756789893125</v>
      </c>
      <c r="AB3065" s="49">
        <f t="shared" si="164"/>
        <v>0.82831276852501512</v>
      </c>
      <c r="AC3065" s="49">
        <f t="shared" si="164"/>
        <v>0.85806639558267261</v>
      </c>
      <c r="AD3065" s="49">
        <f t="shared" si="164"/>
        <v>0.88423030642010358</v>
      </c>
      <c r="AE3065" s="49">
        <f t="shared" si="164"/>
        <v>0.91352859006862108</v>
      </c>
      <c r="AF3065" s="49">
        <f t="shared" si="164"/>
        <v>0.94063862705945867</v>
      </c>
      <c r="AG3065" s="49">
        <f t="shared" si="164"/>
        <v>0.97142582832762536</v>
      </c>
      <c r="AH3065" s="49">
        <f t="shared" si="164"/>
        <v>1.0036305392030083</v>
      </c>
      <c r="AI3065" s="49">
        <f t="shared" si="164"/>
        <v>1.0373292282611153</v>
      </c>
      <c r="AJ3065" s="49">
        <f t="shared" si="164"/>
        <v>1.0707441478235513</v>
      </c>
      <c r="AK3065" s="49">
        <f t="shared" si="164"/>
        <v>1.1071770317411387</v>
      </c>
      <c r="AL3065" s="49">
        <f t="shared" si="164"/>
        <v>1.1459919112713752</v>
      </c>
      <c r="AM3065" s="49">
        <f t="shared" si="164"/>
        <v>1.1890438910109968</v>
      </c>
      <c r="AN3065" s="49">
        <f t="shared" si="164"/>
        <v>1.235015514358452</v>
      </c>
      <c r="AO3065" s="49">
        <f t="shared" si="164"/>
        <v>1.286598489827897</v>
      </c>
      <c r="AP3065" s="49">
        <f t="shared" si="164"/>
        <v>1.3438915282985391</v>
      </c>
      <c r="AQ3065" s="49">
        <f t="shared" si="164"/>
        <v>1.409738293037706</v>
      </c>
      <c r="AR3065" s="49">
        <f t="shared" si="164"/>
        <v>1.4833908014050547</v>
      </c>
      <c r="AS3065" s="49">
        <f t="shared" si="164"/>
        <v>1.5755339546731844</v>
      </c>
      <c r="AT3065" s="49">
        <f t="shared" si="164"/>
        <v>1.6920754154102025</v>
      </c>
      <c r="AU3065" s="49">
        <f t="shared" si="164"/>
        <v>1.8583613793492304</v>
      </c>
      <c r="AV3065" s="49">
        <f t="shared" si="164"/>
        <v>2.142092461619542</v>
      </c>
      <c r="AW3065" s="49">
        <f>AW3064/AW3066</f>
        <v>4</v>
      </c>
      <c r="AX3065" s="48">
        <v>0</v>
      </c>
      <c r="AY3065" s="48">
        <v>0</v>
      </c>
    </row>
    <row r="3066" spans="2:51">
      <c r="B3066" s="4"/>
      <c r="D3066" s="49">
        <f>F3066*2+4</f>
        <v>8</v>
      </c>
      <c r="E3066" s="48" t="s">
        <v>1</v>
      </c>
      <c r="F3066" s="6">
        <v>2</v>
      </c>
      <c r="G3066" s="50">
        <v>5359</v>
      </c>
      <c r="H3066" s="6">
        <v>1429</v>
      </c>
      <c r="I3066" s="6">
        <v>5359</v>
      </c>
      <c r="J3066" s="6">
        <v>2600</v>
      </c>
      <c r="P3066" s="48"/>
      <c r="Q3066" s="49"/>
      <c r="R3066" s="49"/>
      <c r="S3066" s="48"/>
      <c r="T3066" s="49">
        <v>1</v>
      </c>
      <c r="U3066" s="49">
        <f t="shared" ref="U3066:AW3066" si="165">T3066+1</f>
        <v>2</v>
      </c>
      <c r="V3066" s="49">
        <f t="shared" si="165"/>
        <v>3</v>
      </c>
      <c r="W3066" s="49">
        <f t="shared" si="165"/>
        <v>4</v>
      </c>
      <c r="X3066" s="49">
        <f t="shared" si="165"/>
        <v>5</v>
      </c>
      <c r="Y3066" s="49">
        <f t="shared" si="165"/>
        <v>6</v>
      </c>
      <c r="Z3066" s="49">
        <f t="shared" si="165"/>
        <v>7</v>
      </c>
      <c r="AA3066" s="49">
        <f t="shared" si="165"/>
        <v>8</v>
      </c>
      <c r="AB3066" s="49">
        <f t="shared" si="165"/>
        <v>9</v>
      </c>
      <c r="AC3066" s="49">
        <f t="shared" si="165"/>
        <v>10</v>
      </c>
      <c r="AD3066" s="49">
        <f t="shared" si="165"/>
        <v>11</v>
      </c>
      <c r="AE3066" s="49">
        <f t="shared" si="165"/>
        <v>12</v>
      </c>
      <c r="AF3066" s="49">
        <f t="shared" si="165"/>
        <v>13</v>
      </c>
      <c r="AG3066" s="49">
        <f t="shared" si="165"/>
        <v>14</v>
      </c>
      <c r="AH3066" s="49">
        <f t="shared" si="165"/>
        <v>15</v>
      </c>
      <c r="AI3066" s="49">
        <f t="shared" si="165"/>
        <v>16</v>
      </c>
      <c r="AJ3066" s="49">
        <f t="shared" si="165"/>
        <v>17</v>
      </c>
      <c r="AK3066" s="49">
        <f t="shared" si="165"/>
        <v>18</v>
      </c>
      <c r="AL3066" s="49">
        <f t="shared" si="165"/>
        <v>19</v>
      </c>
      <c r="AM3066" s="49">
        <f t="shared" si="165"/>
        <v>20</v>
      </c>
      <c r="AN3066" s="49">
        <f t="shared" si="165"/>
        <v>21</v>
      </c>
      <c r="AO3066" s="49">
        <f t="shared" si="165"/>
        <v>22</v>
      </c>
      <c r="AP3066" s="49">
        <f t="shared" si="165"/>
        <v>23</v>
      </c>
      <c r="AQ3066" s="49">
        <f t="shared" si="165"/>
        <v>24</v>
      </c>
      <c r="AR3066" s="49">
        <f t="shared" si="165"/>
        <v>25</v>
      </c>
      <c r="AS3066" s="49">
        <f t="shared" si="165"/>
        <v>26</v>
      </c>
      <c r="AT3066" s="49">
        <f t="shared" si="165"/>
        <v>27</v>
      </c>
      <c r="AU3066" s="49">
        <f t="shared" si="165"/>
        <v>28</v>
      </c>
      <c r="AV3066" s="49">
        <f t="shared" si="165"/>
        <v>29</v>
      </c>
      <c r="AW3066" s="49">
        <f t="shared" si="165"/>
        <v>30</v>
      </c>
      <c r="AX3066" s="49"/>
      <c r="AY3066" s="49"/>
    </row>
    <row r="3067" spans="2:51">
      <c r="D3067" s="49">
        <f>F3067*2+4</f>
        <v>8</v>
      </c>
      <c r="E3067" s="48" t="s">
        <v>1</v>
      </c>
      <c r="F3067" s="6">
        <v>2</v>
      </c>
      <c r="G3067" s="50">
        <v>9700</v>
      </c>
      <c r="H3067" s="6">
        <v>2400</v>
      </c>
      <c r="I3067" s="6">
        <v>9700</v>
      </c>
      <c r="J3067" s="6">
        <v>2600</v>
      </c>
      <c r="P3067" s="48"/>
      <c r="Q3067" s="48"/>
      <c r="R3067" s="48"/>
      <c r="S3067" s="48"/>
      <c r="T3067" s="48"/>
      <c r="U3067" s="48"/>
      <c r="V3067" s="48"/>
      <c r="W3067" s="48"/>
      <c r="X3067" s="48"/>
      <c r="Y3067" s="48"/>
      <c r="Z3067" s="48"/>
      <c r="AA3067" s="48"/>
      <c r="AB3067" s="49"/>
      <c r="AC3067" s="49"/>
      <c r="AD3067" s="49"/>
      <c r="AE3067" s="49"/>
      <c r="AF3067" s="49"/>
      <c r="AG3067" s="49"/>
      <c r="AH3067" s="49"/>
      <c r="AI3067" s="49"/>
      <c r="AJ3067" s="49"/>
      <c r="AK3067" s="49"/>
      <c r="AL3067" s="49"/>
      <c r="AM3067" s="49"/>
      <c r="AN3067" s="49"/>
      <c r="AO3067" s="49"/>
      <c r="AP3067" s="49"/>
      <c r="AQ3067" s="49"/>
      <c r="AR3067" s="49"/>
      <c r="AS3067" s="49"/>
      <c r="AT3067" s="49"/>
      <c r="AU3067" s="49"/>
      <c r="AV3067" s="49"/>
      <c r="AW3067" s="49"/>
      <c r="AX3067" s="49"/>
      <c r="AY3067" s="49"/>
    </row>
    <row r="3068" spans="2:51">
      <c r="D3068" s="49"/>
      <c r="E3068" s="48" t="s">
        <v>517</v>
      </c>
      <c r="F3068" s="6" t="s">
        <v>601</v>
      </c>
      <c r="G3068" s="6">
        <v>50</v>
      </c>
      <c r="H3068" s="6">
        <v>2058</v>
      </c>
      <c r="I3068" s="6">
        <v>1279</v>
      </c>
      <c r="J3068" s="6">
        <v>350</v>
      </c>
      <c r="P3068" s="48"/>
      <c r="Q3068" s="48"/>
      <c r="R3068" s="48"/>
      <c r="S3068" s="48"/>
      <c r="T3068" s="48"/>
      <c r="U3068" s="48"/>
      <c r="V3068" s="48"/>
      <c r="W3068" s="48"/>
      <c r="X3068" s="48"/>
      <c r="Y3068" s="48"/>
      <c r="Z3068" s="48"/>
      <c r="AA3068" s="48"/>
      <c r="AB3068" s="49"/>
      <c r="AC3068" s="49"/>
      <c r="AD3068" s="49"/>
      <c r="AE3068" s="49"/>
      <c r="AF3068" s="49"/>
      <c r="AG3068" s="49"/>
      <c r="AH3068" s="49"/>
      <c r="AI3068" s="49"/>
      <c r="AJ3068" s="49"/>
      <c r="AK3068" s="49"/>
      <c r="AL3068" s="49"/>
      <c r="AM3068" s="49"/>
      <c r="AN3068" s="49"/>
      <c r="AO3068" s="49"/>
      <c r="AP3068" s="49"/>
      <c r="AQ3068" s="49"/>
      <c r="AR3068" s="49"/>
      <c r="AS3068" s="49"/>
      <c r="AT3068" s="49"/>
      <c r="AU3068" s="49"/>
      <c r="AV3068" s="49"/>
      <c r="AW3068" s="49"/>
      <c r="AX3068" s="49"/>
      <c r="AY3068" s="49"/>
    </row>
    <row r="3069" spans="2:51">
      <c r="D3069" s="49">
        <f>F3069*2+4</f>
        <v>8</v>
      </c>
      <c r="E3069" s="48" t="s">
        <v>1</v>
      </c>
      <c r="F3069" s="6">
        <v>2</v>
      </c>
      <c r="G3069" s="50">
        <v>600</v>
      </c>
      <c r="H3069" s="6">
        <v>2187</v>
      </c>
      <c r="I3069" s="6">
        <v>800</v>
      </c>
      <c r="J3069" s="6">
        <v>2187</v>
      </c>
      <c r="P3069" s="48"/>
      <c r="Q3069" s="48"/>
      <c r="R3069" s="48"/>
      <c r="S3069" s="48"/>
      <c r="T3069" s="48"/>
      <c r="U3069" s="48"/>
      <c r="V3069" s="48"/>
      <c r="W3069" s="48"/>
      <c r="X3069" s="48"/>
      <c r="Y3069" s="48"/>
      <c r="Z3069" s="48"/>
      <c r="AA3069" s="48"/>
      <c r="AB3069" s="49"/>
      <c r="AC3069" s="49"/>
      <c r="AD3069" s="49"/>
      <c r="AE3069" s="49"/>
      <c r="AF3069" s="49"/>
      <c r="AG3069" s="49"/>
      <c r="AH3069" s="49"/>
      <c r="AI3069" s="49"/>
      <c r="AJ3069" s="49"/>
      <c r="AK3069" s="49"/>
      <c r="AL3069" s="49"/>
      <c r="AM3069" s="49"/>
      <c r="AN3069" s="49"/>
      <c r="AO3069" s="49"/>
      <c r="AP3069" s="49"/>
      <c r="AQ3069" s="49"/>
      <c r="AR3069" s="49"/>
      <c r="AS3069" s="49"/>
      <c r="AT3069" s="49"/>
      <c r="AU3069" s="49"/>
      <c r="AV3069" s="49"/>
      <c r="AW3069" s="49"/>
      <c r="AX3069" s="49"/>
      <c r="AY3069" s="49"/>
    </row>
    <row r="3070" spans="2:51">
      <c r="D3070" s="49">
        <f>F3070*2+4</f>
        <v>8</v>
      </c>
      <c r="E3070" s="48" t="s">
        <v>1</v>
      </c>
      <c r="F3070" s="6">
        <v>2</v>
      </c>
      <c r="G3070" s="50">
        <v>600</v>
      </c>
      <c r="H3070" s="6">
        <v>500</v>
      </c>
      <c r="I3070" s="6">
        <v>800</v>
      </c>
      <c r="J3070" s="6">
        <v>500</v>
      </c>
      <c r="P3070" s="48"/>
      <c r="Q3070" s="48"/>
      <c r="R3070" s="48"/>
      <c r="S3070" s="48"/>
      <c r="T3070" s="48"/>
      <c r="U3070" s="48"/>
      <c r="V3070" s="48"/>
      <c r="W3070" s="48"/>
      <c r="X3070" s="48"/>
      <c r="Y3070" s="48"/>
      <c r="Z3070" s="48"/>
      <c r="AA3070" s="48"/>
      <c r="AB3070" s="49"/>
      <c r="AC3070" s="49"/>
      <c r="AD3070" s="49"/>
      <c r="AE3070" s="49"/>
      <c r="AF3070" s="49"/>
      <c r="AG3070" s="49"/>
      <c r="AH3070" s="49"/>
      <c r="AI3070" s="49"/>
      <c r="AJ3070" s="49"/>
      <c r="AK3070" s="49"/>
      <c r="AL3070" s="49"/>
      <c r="AM3070" s="49"/>
      <c r="AN3070" s="49"/>
      <c r="AO3070" s="49"/>
      <c r="AP3070" s="49"/>
      <c r="AQ3070" s="49"/>
      <c r="AR3070" s="49"/>
      <c r="AS3070" s="49"/>
      <c r="AT3070" s="49"/>
      <c r="AU3070" s="49"/>
      <c r="AV3070" s="49"/>
      <c r="AW3070" s="49"/>
      <c r="AX3070" s="49"/>
      <c r="AY3070" s="49"/>
    </row>
    <row r="3071" spans="2:51">
      <c r="D3071" s="49">
        <f>F3071*2+4</f>
        <v>8</v>
      </c>
      <c r="E3071" s="48" t="s">
        <v>1</v>
      </c>
      <c r="F3071" s="6">
        <v>2</v>
      </c>
      <c r="G3071" s="50">
        <v>600</v>
      </c>
      <c r="H3071" s="6">
        <v>2500</v>
      </c>
      <c r="I3071" s="6">
        <v>800</v>
      </c>
      <c r="J3071" s="6">
        <v>2500</v>
      </c>
      <c r="P3071" s="48"/>
      <c r="Q3071" s="48"/>
      <c r="R3071" s="48"/>
      <c r="S3071" s="48"/>
      <c r="T3071" s="48"/>
      <c r="U3071" s="48"/>
      <c r="V3071" s="48"/>
      <c r="W3071" s="48"/>
      <c r="X3071" s="48"/>
      <c r="Y3071" s="48"/>
      <c r="Z3071" s="48"/>
      <c r="AA3071" s="48"/>
      <c r="AB3071" s="49"/>
      <c r="AC3071" s="49"/>
      <c r="AD3071" s="49"/>
      <c r="AE3071" s="49"/>
      <c r="AF3071" s="49"/>
      <c r="AG3071" s="49"/>
      <c r="AH3071" s="49"/>
      <c r="AI3071" s="49"/>
      <c r="AJ3071" s="49"/>
      <c r="AK3071" s="49"/>
      <c r="AL3071" s="49"/>
      <c r="AM3071" s="49"/>
      <c r="AN3071" s="49"/>
      <c r="AO3071" s="49"/>
      <c r="AP3071" s="49"/>
      <c r="AQ3071" s="49"/>
      <c r="AR3071" s="49"/>
      <c r="AS3071" s="49"/>
      <c r="AT3071" s="49"/>
      <c r="AU3071" s="49"/>
      <c r="AV3071" s="49"/>
      <c r="AW3071" s="49"/>
      <c r="AX3071" s="49"/>
      <c r="AY3071" s="49"/>
    </row>
    <row r="3072" spans="2:51">
      <c r="D3072" s="49">
        <f>F3072*2+4</f>
        <v>8</v>
      </c>
      <c r="E3072" s="48" t="s">
        <v>1</v>
      </c>
      <c r="F3072" s="6">
        <v>2</v>
      </c>
      <c r="G3072" s="50">
        <v>600</v>
      </c>
      <c r="H3072" s="6">
        <v>1429</v>
      </c>
      <c r="I3072" s="6">
        <v>800</v>
      </c>
      <c r="J3072" s="6">
        <v>1429</v>
      </c>
      <c r="K3072" s="50"/>
      <c r="L3072" s="50"/>
      <c r="P3072" s="48"/>
      <c r="Q3072" s="48"/>
      <c r="R3072" s="48"/>
      <c r="S3072" s="48"/>
      <c r="T3072" s="48"/>
      <c r="U3072" s="48"/>
      <c r="V3072" s="48"/>
      <c r="W3072" s="48"/>
      <c r="X3072" s="48"/>
      <c r="Y3072" s="48"/>
      <c r="Z3072" s="48"/>
      <c r="AA3072" s="48"/>
      <c r="AB3072" s="49"/>
      <c r="AC3072" s="49"/>
      <c r="AD3072" s="49"/>
      <c r="AE3072" s="49"/>
      <c r="AF3072" s="49"/>
      <c r="AG3072" s="49"/>
      <c r="AH3072" s="49"/>
      <c r="AI3072" s="49"/>
      <c r="AJ3072" s="49"/>
      <c r="AK3072" s="49"/>
      <c r="AL3072" s="49"/>
      <c r="AM3072" s="49"/>
      <c r="AN3072" s="49"/>
      <c r="AO3072" s="49"/>
      <c r="AP3072" s="49"/>
      <c r="AQ3072" s="49"/>
      <c r="AR3072" s="49"/>
      <c r="AS3072" s="49"/>
      <c r="AT3072" s="49"/>
      <c r="AU3072" s="49"/>
      <c r="AV3072" s="49"/>
      <c r="AW3072" s="49"/>
      <c r="AX3072" s="49"/>
      <c r="AY3072" s="49"/>
    </row>
    <row r="3073" spans="1:74">
      <c r="D3073" s="48">
        <v>4</v>
      </c>
      <c r="E3073" s="48" t="s">
        <v>15</v>
      </c>
      <c r="F3073" s="6">
        <v>3</v>
      </c>
      <c r="G3073" s="50"/>
      <c r="K3073" s="50"/>
      <c r="L3073" s="50"/>
      <c r="P3073" s="48"/>
      <c r="Q3073" s="48"/>
      <c r="R3073" s="48"/>
      <c r="S3073" s="48"/>
      <c r="T3073" s="48"/>
      <c r="U3073" s="48"/>
      <c r="V3073" s="48"/>
      <c r="W3073" s="48"/>
      <c r="X3073" s="48"/>
      <c r="Y3073" s="48"/>
      <c r="Z3073" s="48"/>
      <c r="AA3073" s="48"/>
      <c r="AB3073" s="49"/>
      <c r="AC3073" s="49"/>
      <c r="AD3073" s="49"/>
      <c r="AE3073" s="49"/>
      <c r="AF3073" s="49"/>
      <c r="AG3073" s="49"/>
      <c r="AH3073" s="49"/>
      <c r="AI3073" s="49"/>
      <c r="AJ3073" s="49"/>
      <c r="AK3073" s="49"/>
      <c r="AL3073" s="49"/>
      <c r="AM3073" s="49"/>
      <c r="AN3073" s="49"/>
      <c r="AO3073" s="49"/>
      <c r="AP3073" s="49"/>
      <c r="AQ3073" s="49"/>
      <c r="AR3073" s="49"/>
      <c r="AS3073" s="49"/>
      <c r="AT3073" s="49"/>
      <c r="AU3073" s="49"/>
      <c r="AV3073" s="49"/>
      <c r="AW3073" s="49"/>
      <c r="AX3073" s="49"/>
      <c r="AY3073" s="49"/>
    </row>
    <row r="3074" spans="1:74">
      <c r="D3074" s="48">
        <v>64</v>
      </c>
      <c r="E3074" s="48" t="s">
        <v>114</v>
      </c>
      <c r="F3074" s="6">
        <v>200</v>
      </c>
      <c r="G3074" s="50">
        <v>700</v>
      </c>
      <c r="H3074" s="50">
        <v>3100</v>
      </c>
      <c r="I3074" s="50">
        <v>9700</v>
      </c>
      <c r="J3074" s="50">
        <f>H3074</f>
        <v>3100</v>
      </c>
      <c r="K3074" s="50">
        <v>5359</v>
      </c>
      <c r="L3074" s="50">
        <f>J3074</f>
        <v>3100</v>
      </c>
      <c r="M3074" s="42" t="s">
        <v>358</v>
      </c>
      <c r="N3074" s="42" t="s">
        <v>360</v>
      </c>
      <c r="O3074" s="42"/>
      <c r="P3074" s="48"/>
      <c r="Q3074" s="48"/>
      <c r="R3074" s="48"/>
      <c r="S3074" s="48"/>
      <c r="T3074" s="48"/>
      <c r="U3074" s="48"/>
      <c r="V3074" s="48"/>
      <c r="W3074" s="48"/>
      <c r="X3074" s="48"/>
      <c r="Y3074" s="48"/>
      <c r="Z3074" s="48"/>
      <c r="AA3074" s="48"/>
      <c r="AB3074" s="49"/>
      <c r="AC3074" s="49"/>
      <c r="AD3074" s="49"/>
      <c r="AE3074" s="49"/>
      <c r="AF3074" s="49"/>
      <c r="AG3074" s="49"/>
      <c r="AH3074" s="49"/>
      <c r="AI3074" s="49"/>
      <c r="AJ3074" s="49"/>
      <c r="AK3074" s="49"/>
      <c r="AL3074" s="49"/>
      <c r="AM3074" s="49"/>
      <c r="AN3074" s="49"/>
      <c r="AO3074" s="49"/>
      <c r="AP3074" s="49"/>
      <c r="AQ3074" s="49"/>
      <c r="AR3074" s="49"/>
      <c r="AS3074" s="49"/>
      <c r="AT3074" s="49"/>
      <c r="AU3074" s="49"/>
      <c r="AV3074" s="49"/>
      <c r="AW3074" s="49"/>
      <c r="AX3074" s="49"/>
      <c r="AY3074" s="49"/>
    </row>
    <row r="3077" spans="1:74">
      <c r="A3077" s="48" t="s">
        <v>383</v>
      </c>
      <c r="B3077" s="1" t="s">
        <v>364</v>
      </c>
      <c r="D3077" s="48" t="s">
        <v>449</v>
      </c>
      <c r="E3077" s="48">
        <v>52695</v>
      </c>
      <c r="F3077" s="6">
        <v>39622</v>
      </c>
      <c r="G3077" s="6">
        <v>0</v>
      </c>
      <c r="H3077" s="6">
        <v>0</v>
      </c>
      <c r="I3077" s="6">
        <v>0</v>
      </c>
      <c r="J3077" s="6">
        <v>12000</v>
      </c>
      <c r="K3077" s="6">
        <v>9800</v>
      </c>
      <c r="L3077" s="6">
        <v>1920</v>
      </c>
      <c r="M3077" s="6">
        <v>0</v>
      </c>
      <c r="N3077" s="6">
        <v>0</v>
      </c>
      <c r="O3077" s="6" t="e">
        <f ca="1">checksummeint(G3077,H3077,I3077,J3077,K3077,L3077,M3077,N3077)</f>
        <v>#NAME?</v>
      </c>
      <c r="P3077" s="48"/>
      <c r="Q3077" s="48"/>
      <c r="R3077" s="48"/>
      <c r="S3077" s="48"/>
      <c r="T3077" s="49"/>
      <c r="U3077" s="49"/>
      <c r="V3077" s="48"/>
      <c r="W3077" s="48"/>
      <c r="X3077" s="48"/>
      <c r="Y3077" s="48"/>
      <c r="Z3077" s="48"/>
      <c r="AA3077" s="48"/>
      <c r="AB3077" s="48"/>
      <c r="AC3077" s="48"/>
      <c r="AD3077" s="48"/>
      <c r="AE3077" s="48"/>
      <c r="AF3077" s="48"/>
      <c r="AG3077" s="48"/>
      <c r="AH3077" s="48"/>
      <c r="AI3077" s="48"/>
      <c r="AJ3077" s="48"/>
      <c r="AK3077" s="48"/>
      <c r="AL3077" s="48"/>
      <c r="AM3077" s="48"/>
      <c r="AN3077" s="48"/>
      <c r="AO3077" s="48"/>
      <c r="AP3077" s="48"/>
      <c r="AQ3077" s="48"/>
      <c r="AR3077" s="48"/>
      <c r="AS3077" s="48"/>
      <c r="AT3077" s="48"/>
      <c r="AU3077" s="48"/>
      <c r="AV3077" s="48"/>
      <c r="AW3077" s="48"/>
      <c r="AX3077" s="48"/>
      <c r="AY3077" s="48"/>
      <c r="AZ3077" s="48"/>
      <c r="BA3077" s="48"/>
      <c r="BB3077" s="48"/>
      <c r="BC3077" s="48"/>
      <c r="BD3077" s="48"/>
      <c r="BE3077" s="48"/>
      <c r="BF3077" s="48"/>
      <c r="BG3077" s="48"/>
      <c r="BH3077" s="48"/>
      <c r="BI3077" s="48"/>
      <c r="BJ3077" s="48"/>
      <c r="BK3077" s="48"/>
      <c r="BL3077" s="48"/>
      <c r="BM3077" s="48"/>
      <c r="BN3077" s="48"/>
      <c r="BO3077" s="48"/>
      <c r="BP3077" s="48"/>
      <c r="BQ3077" s="48"/>
      <c r="BR3077" s="48"/>
      <c r="BS3077" s="48"/>
      <c r="BT3077" s="48"/>
      <c r="BU3077" s="48"/>
      <c r="BV3077" s="48"/>
    </row>
    <row r="3078" spans="1:74">
      <c r="A3078" s="1"/>
      <c r="D3078" s="48">
        <v>28</v>
      </c>
      <c r="E3078" s="48" t="s">
        <v>12</v>
      </c>
      <c r="F3078" s="6">
        <v>360</v>
      </c>
      <c r="G3078" s="6">
        <v>0</v>
      </c>
      <c r="H3078" s="6">
        <v>0</v>
      </c>
      <c r="I3078" s="6">
        <v>0</v>
      </c>
      <c r="J3078" s="6">
        <v>400</v>
      </c>
      <c r="K3078" s="6">
        <v>0</v>
      </c>
      <c r="L3078" s="6">
        <v>0</v>
      </c>
      <c r="M3078" s="6">
        <v>0</v>
      </c>
      <c r="N3078" s="6">
        <v>0</v>
      </c>
      <c r="O3078" s="6" t="s">
        <v>19</v>
      </c>
      <c r="P3078" s="48"/>
      <c r="Q3078" s="48"/>
      <c r="R3078" s="48"/>
      <c r="S3078" s="48"/>
      <c r="T3078" s="49"/>
      <c r="U3078" s="49"/>
      <c r="V3078" s="48"/>
      <c r="W3078" s="48"/>
      <c r="X3078" s="48"/>
      <c r="Y3078" s="48"/>
      <c r="Z3078" s="48"/>
      <c r="AA3078" s="48"/>
      <c r="AB3078" s="48"/>
      <c r="AC3078" s="48"/>
      <c r="AD3078" s="48"/>
      <c r="AE3078" s="48"/>
      <c r="AF3078" s="48"/>
      <c r="AG3078" s="48"/>
      <c r="AH3078" s="48"/>
      <c r="AI3078" s="48"/>
      <c r="AJ3078" s="48"/>
      <c r="AK3078" s="48"/>
      <c r="AL3078" s="48"/>
      <c r="AM3078" s="48"/>
      <c r="AN3078" s="48"/>
      <c r="AO3078" s="48"/>
      <c r="AP3078" s="48"/>
      <c r="AQ3078" s="48"/>
      <c r="AR3078" s="48"/>
      <c r="AS3078" s="48"/>
      <c r="AT3078" s="48"/>
      <c r="AU3078" s="48"/>
      <c r="AV3078" s="48"/>
      <c r="AW3078" s="48"/>
      <c r="AX3078" s="48"/>
      <c r="AY3078" s="48"/>
      <c r="AZ3078" s="48"/>
      <c r="BA3078" s="48"/>
      <c r="BB3078" s="48"/>
      <c r="BC3078" s="48"/>
      <c r="BD3078" s="48"/>
      <c r="BE3078" s="48"/>
      <c r="BF3078" s="48"/>
      <c r="BG3078" s="48"/>
      <c r="BH3078" s="48"/>
      <c r="BI3078" s="48"/>
      <c r="BJ3078" s="48"/>
      <c r="BK3078" s="48"/>
      <c r="BL3078" s="48"/>
      <c r="BM3078" s="48"/>
      <c r="BN3078" s="48"/>
      <c r="BO3078" s="48"/>
      <c r="BP3078" s="48"/>
      <c r="BQ3078" s="48"/>
      <c r="BR3078" s="48"/>
      <c r="BS3078" s="48"/>
      <c r="BT3078" s="48"/>
      <c r="BU3078" s="49"/>
      <c r="BV3078" s="49"/>
    </row>
    <row r="3079" spans="1:74">
      <c r="D3079" s="48">
        <v>5</v>
      </c>
      <c r="E3079" s="48" t="s">
        <v>59</v>
      </c>
      <c r="F3079" s="6">
        <v>1</v>
      </c>
      <c r="G3079" s="6">
        <v>0</v>
      </c>
      <c r="P3079" s="48"/>
      <c r="Q3079" s="48"/>
      <c r="R3079" s="48"/>
      <c r="S3079" s="48"/>
      <c r="T3079" s="49"/>
      <c r="U3079" s="49"/>
      <c r="V3079" s="48"/>
      <c r="W3079" s="48"/>
      <c r="X3079" s="48"/>
      <c r="Y3079" s="48"/>
      <c r="Z3079" s="48"/>
      <c r="AA3079" s="48"/>
      <c r="AB3079" s="48"/>
      <c r="AC3079" s="48"/>
      <c r="AD3079" s="48"/>
      <c r="AE3079" s="48"/>
      <c r="AF3079" s="48"/>
      <c r="AG3079" s="48"/>
      <c r="AH3079" s="48"/>
      <c r="AI3079" s="48"/>
      <c r="AJ3079" s="48"/>
      <c r="AK3079" s="48"/>
      <c r="AL3079" s="48"/>
      <c r="AM3079" s="48"/>
      <c r="AN3079" s="48"/>
      <c r="AO3079" s="48"/>
      <c r="AP3079" s="48"/>
      <c r="AQ3079" s="48"/>
      <c r="AR3079" s="48"/>
      <c r="AS3079" s="48"/>
      <c r="AT3079" s="48"/>
      <c r="AU3079" s="48"/>
      <c r="AV3079" s="48"/>
      <c r="AW3079" s="48"/>
      <c r="AX3079" s="48"/>
      <c r="AY3079" s="48"/>
      <c r="AZ3079" s="48"/>
      <c r="BA3079" s="48"/>
      <c r="BB3079" s="48"/>
      <c r="BC3079" s="48"/>
      <c r="BD3079" s="48"/>
      <c r="BE3079" s="48"/>
      <c r="BF3079" s="48"/>
      <c r="BG3079" s="48"/>
      <c r="BH3079" s="48"/>
      <c r="BI3079" s="48"/>
      <c r="BJ3079" s="48"/>
      <c r="BK3079" s="48"/>
      <c r="BL3079" s="48"/>
      <c r="BM3079" s="48"/>
      <c r="BN3079" s="48"/>
      <c r="BO3079" s="48"/>
      <c r="BP3079" s="48"/>
      <c r="BQ3079" s="48"/>
      <c r="BR3079" s="48"/>
      <c r="BS3079" s="48"/>
      <c r="BT3079" s="48"/>
      <c r="BU3079" s="49"/>
      <c r="BV3079" s="49"/>
    </row>
    <row r="3080" spans="1:74">
      <c r="D3080" s="48">
        <v>8</v>
      </c>
      <c r="E3080" s="48" t="s">
        <v>14</v>
      </c>
      <c r="F3080" s="6">
        <v>0</v>
      </c>
      <c r="G3080" s="6">
        <v>16</v>
      </c>
      <c r="H3080" s="6">
        <v>0</v>
      </c>
      <c r="I3080" s="6">
        <v>0</v>
      </c>
      <c r="J3080" s="6">
        <v>0</v>
      </c>
      <c r="M3080" s="44"/>
      <c r="N3080" s="45"/>
      <c r="O3080" s="46"/>
      <c r="P3080" s="48"/>
      <c r="Q3080" s="48"/>
      <c r="R3080" s="48"/>
      <c r="S3080" s="48"/>
      <c r="T3080" s="49"/>
      <c r="U3080" s="49"/>
      <c r="V3080" s="48"/>
      <c r="W3080" s="48"/>
      <c r="X3080" s="48"/>
      <c r="Y3080" s="48"/>
      <c r="Z3080" s="48"/>
      <c r="AA3080" s="48"/>
      <c r="AB3080" s="48"/>
      <c r="AC3080" s="48"/>
      <c r="AD3080" s="48"/>
      <c r="AE3080" s="48"/>
      <c r="AF3080" s="48"/>
      <c r="AG3080" s="48"/>
      <c r="AH3080" s="48"/>
      <c r="AI3080" s="48"/>
      <c r="AJ3080" s="48"/>
      <c r="AK3080" s="48"/>
      <c r="AL3080" s="48"/>
      <c r="AM3080" s="48"/>
      <c r="AN3080" s="48"/>
      <c r="AO3080" s="48"/>
      <c r="AP3080" s="48"/>
      <c r="AQ3080" s="48"/>
      <c r="AR3080" s="48"/>
      <c r="AS3080" s="48"/>
      <c r="AT3080" s="48"/>
      <c r="AU3080" s="48"/>
      <c r="AV3080" s="48"/>
      <c r="AW3080" s="48"/>
      <c r="AX3080" s="48"/>
      <c r="AY3080" s="48"/>
      <c r="AZ3080" s="48"/>
      <c r="BA3080" s="48"/>
      <c r="BB3080" s="48"/>
      <c r="BC3080" s="48"/>
      <c r="BD3080" s="48"/>
      <c r="BE3080" s="48"/>
      <c r="BF3080" s="48"/>
      <c r="BG3080" s="48"/>
      <c r="BH3080" s="48"/>
      <c r="BI3080" s="48"/>
      <c r="BJ3080" s="48"/>
      <c r="BK3080" s="48"/>
      <c r="BL3080" s="48"/>
      <c r="BM3080" s="48"/>
      <c r="BN3080" s="48"/>
      <c r="BO3080" s="48"/>
      <c r="BP3080" s="48"/>
      <c r="BQ3080" s="48"/>
      <c r="BR3080" s="48"/>
      <c r="BS3080" s="48"/>
      <c r="BT3080" s="48"/>
      <c r="BU3080" s="49"/>
      <c r="BV3080" s="49"/>
    </row>
    <row r="3081" spans="1:74">
      <c r="D3081" s="48">
        <v>7</v>
      </c>
      <c r="E3081" s="48" t="s">
        <v>11</v>
      </c>
      <c r="F3081" s="6">
        <v>0</v>
      </c>
      <c r="G3081" s="50">
        <f>255*256+192</f>
        <v>65472</v>
      </c>
      <c r="H3081" s="50">
        <v>192</v>
      </c>
      <c r="I3081" s="6">
        <v>0</v>
      </c>
      <c r="P3081" s="48"/>
      <c r="Q3081" s="48"/>
      <c r="R3081" s="48"/>
      <c r="S3081" s="48"/>
      <c r="T3081" s="49"/>
      <c r="U3081" s="49"/>
      <c r="V3081" s="48"/>
      <c r="W3081" s="48"/>
      <c r="X3081" s="48"/>
      <c r="Y3081" s="48"/>
      <c r="Z3081" s="48"/>
      <c r="AA3081" s="48"/>
      <c r="AB3081" s="48"/>
      <c r="AC3081" s="48"/>
      <c r="AD3081" s="48"/>
      <c r="AE3081" s="48"/>
      <c r="AF3081" s="48"/>
      <c r="AG3081" s="48"/>
      <c r="AH3081" s="48"/>
      <c r="AI3081" s="48"/>
      <c r="AJ3081" s="48"/>
      <c r="AK3081" s="48"/>
      <c r="AL3081" s="48"/>
      <c r="AM3081" s="48"/>
      <c r="AN3081" s="48"/>
      <c r="AO3081" s="48"/>
      <c r="AP3081" s="48"/>
      <c r="AQ3081" s="48"/>
      <c r="AR3081" s="48"/>
      <c r="AS3081" s="48"/>
      <c r="AT3081" s="48"/>
      <c r="AU3081" s="48"/>
      <c r="AV3081" s="48"/>
      <c r="AW3081" s="48"/>
      <c r="AX3081" s="48"/>
      <c r="AY3081" s="48"/>
      <c r="AZ3081" s="48"/>
      <c r="BA3081" s="48"/>
      <c r="BB3081" s="48"/>
      <c r="BC3081" s="48"/>
      <c r="BD3081" s="48"/>
      <c r="BE3081" s="48"/>
      <c r="BF3081" s="48"/>
      <c r="BG3081" s="48"/>
      <c r="BH3081" s="48"/>
      <c r="BI3081" s="48"/>
      <c r="BJ3081" s="48"/>
      <c r="BK3081" s="48"/>
      <c r="BL3081" s="48"/>
      <c r="BM3081" s="48"/>
      <c r="BN3081" s="48"/>
      <c r="BO3081" s="48"/>
      <c r="BP3081" s="48"/>
      <c r="BQ3081" s="48"/>
      <c r="BR3081" s="48"/>
      <c r="BS3081" s="48"/>
      <c r="BT3081" s="48"/>
      <c r="BU3081" s="49"/>
      <c r="BV3081" s="49"/>
    </row>
    <row r="3082" spans="1:74">
      <c r="D3082" s="48">
        <v>7</v>
      </c>
      <c r="E3082" s="48" t="s">
        <v>11</v>
      </c>
      <c r="F3082" s="6">
        <v>0</v>
      </c>
      <c r="G3082" s="6">
        <v>0</v>
      </c>
      <c r="H3082" s="6">
        <v>0</v>
      </c>
      <c r="I3082" s="6">
        <v>0</v>
      </c>
      <c r="P3082" s="48"/>
      <c r="Q3082" s="48"/>
      <c r="R3082" s="48"/>
      <c r="S3082" s="48"/>
      <c r="T3082" s="49"/>
      <c r="U3082" s="49"/>
      <c r="V3082" s="48"/>
      <c r="W3082" s="48"/>
      <c r="X3082" s="48"/>
      <c r="Y3082" s="48"/>
      <c r="Z3082" s="48"/>
      <c r="AA3082" s="48"/>
      <c r="AB3082" s="48"/>
      <c r="AC3082" s="48"/>
      <c r="AD3082" s="48"/>
      <c r="AE3082" s="48"/>
      <c r="AF3082" s="48"/>
      <c r="AG3082" s="48"/>
      <c r="AH3082" s="48"/>
      <c r="AI3082" s="48"/>
      <c r="AJ3082" s="48"/>
      <c r="AK3082" s="48"/>
      <c r="AL3082" s="48"/>
      <c r="AM3082" s="48"/>
      <c r="AN3082" s="48"/>
      <c r="AO3082" s="48"/>
      <c r="AP3082" s="48"/>
      <c r="AQ3082" s="48"/>
      <c r="AR3082" s="48"/>
      <c r="AS3082" s="48"/>
      <c r="AT3082" s="48"/>
      <c r="AU3082" s="48"/>
      <c r="AV3082" s="48"/>
      <c r="AW3082" s="48"/>
      <c r="AX3082" s="48"/>
      <c r="AY3082" s="48"/>
      <c r="AZ3082" s="48"/>
      <c r="BA3082" s="48"/>
      <c r="BB3082" s="48"/>
      <c r="BC3082" s="48"/>
      <c r="BD3082" s="48"/>
      <c r="BE3082" s="48"/>
      <c r="BF3082" s="48"/>
      <c r="BG3082" s="48"/>
      <c r="BH3082" s="48"/>
      <c r="BI3082" s="48"/>
      <c r="BJ3082" s="48"/>
      <c r="BK3082" s="48"/>
      <c r="BL3082" s="48"/>
      <c r="BM3082" s="48"/>
      <c r="BN3082" s="48"/>
      <c r="BO3082" s="48"/>
      <c r="BP3082" s="48"/>
      <c r="BQ3082" s="48"/>
      <c r="BR3082" s="48"/>
      <c r="BS3082" s="48"/>
      <c r="BT3082" s="48"/>
      <c r="BU3082" s="49"/>
      <c r="BV3082" s="49"/>
    </row>
    <row r="3083" spans="1:74">
      <c r="D3083" s="48">
        <v>7</v>
      </c>
      <c r="E3083" s="48" t="s">
        <v>11</v>
      </c>
      <c r="F3083" s="6">
        <v>0</v>
      </c>
      <c r="G3083" s="6">
        <f>256*192+255</f>
        <v>49407</v>
      </c>
      <c r="H3083" s="6">
        <v>192</v>
      </c>
      <c r="I3083" s="6">
        <v>0</v>
      </c>
      <c r="P3083" s="48"/>
      <c r="Q3083" s="48"/>
      <c r="R3083" s="48"/>
      <c r="S3083" s="48"/>
      <c r="T3083" s="49"/>
      <c r="U3083" s="49"/>
      <c r="V3083" s="48"/>
      <c r="W3083" s="48"/>
      <c r="X3083" s="48"/>
      <c r="Y3083" s="48"/>
      <c r="Z3083" s="48"/>
      <c r="AA3083" s="48"/>
      <c r="AB3083" s="48"/>
      <c r="AC3083" s="48"/>
      <c r="AD3083" s="48"/>
      <c r="AE3083" s="48"/>
      <c r="AF3083" s="48"/>
      <c r="AG3083" s="48"/>
      <c r="AH3083" s="48"/>
      <c r="AI3083" s="48"/>
      <c r="AJ3083" s="48"/>
      <c r="AK3083" s="48"/>
      <c r="AL3083" s="48"/>
      <c r="AM3083" s="48"/>
      <c r="AN3083" s="48"/>
      <c r="AO3083" s="48"/>
      <c r="AP3083" s="48"/>
      <c r="AQ3083" s="48"/>
      <c r="AR3083" s="48"/>
      <c r="AS3083" s="48"/>
      <c r="AT3083" s="48"/>
      <c r="AU3083" s="48"/>
      <c r="AV3083" s="48"/>
      <c r="AW3083" s="48"/>
      <c r="AX3083" s="48"/>
      <c r="AY3083" s="48"/>
      <c r="AZ3083" s="48"/>
      <c r="BA3083" s="48"/>
      <c r="BB3083" s="48"/>
      <c r="BC3083" s="48"/>
      <c r="BD3083" s="48"/>
      <c r="BE3083" s="48"/>
      <c r="BF3083" s="48"/>
      <c r="BG3083" s="48"/>
      <c r="BH3083" s="48"/>
      <c r="BI3083" s="48"/>
      <c r="BJ3083" s="48"/>
      <c r="BK3083" s="48"/>
      <c r="BL3083" s="48"/>
      <c r="BM3083" s="48"/>
      <c r="BN3083" s="48"/>
      <c r="BO3083" s="48"/>
      <c r="BP3083" s="48"/>
      <c r="BQ3083" s="48"/>
      <c r="BR3083" s="48"/>
      <c r="BS3083" s="48"/>
      <c r="BT3083" s="48"/>
      <c r="BU3083" s="49"/>
      <c r="BV3083" s="49"/>
    </row>
    <row r="3084" spans="1:74">
      <c r="A3084" s="1"/>
      <c r="B3084" s="1"/>
      <c r="D3084" s="48">
        <v>4</v>
      </c>
      <c r="E3084" s="48" t="s">
        <v>15</v>
      </c>
      <c r="F3084" s="6">
        <v>0</v>
      </c>
      <c r="G3084" s="50"/>
      <c r="P3084" s="48"/>
      <c r="Q3084" s="48"/>
      <c r="R3084" s="48"/>
      <c r="S3084" s="48"/>
      <c r="T3084" s="49"/>
      <c r="U3084" s="49"/>
      <c r="V3084" s="48"/>
      <c r="W3084" s="48"/>
      <c r="X3084" s="48"/>
      <c r="Y3084" s="48"/>
      <c r="Z3084" s="48"/>
      <c r="AA3084" s="48"/>
      <c r="AB3084" s="48"/>
      <c r="AC3084" s="48"/>
      <c r="AD3084" s="48"/>
      <c r="AE3084" s="48"/>
      <c r="AF3084" s="48"/>
      <c r="AG3084" s="48"/>
      <c r="AH3084" s="48"/>
      <c r="AI3084" s="48"/>
      <c r="AJ3084" s="48"/>
      <c r="AK3084" s="48"/>
      <c r="AL3084" s="48"/>
      <c r="AM3084" s="48"/>
      <c r="AN3084" s="48"/>
      <c r="AO3084" s="48"/>
      <c r="AP3084" s="48"/>
      <c r="AQ3084" s="48"/>
      <c r="AR3084" s="48"/>
      <c r="AS3084" s="48"/>
      <c r="AT3084" s="48"/>
      <c r="AU3084" s="48"/>
      <c r="AV3084" s="48"/>
      <c r="AW3084" s="48"/>
      <c r="AX3084" s="48"/>
      <c r="AY3084" s="48"/>
      <c r="AZ3084" s="48"/>
      <c r="BA3084" s="48"/>
      <c r="BB3084" s="48"/>
      <c r="BC3084" s="48"/>
      <c r="BD3084" s="48"/>
      <c r="BE3084" s="48"/>
      <c r="BF3084" s="48"/>
      <c r="BG3084" s="48"/>
      <c r="BH3084" s="48"/>
      <c r="BI3084" s="48"/>
      <c r="BJ3084" s="48"/>
      <c r="BK3084" s="48"/>
      <c r="BL3084" s="48"/>
      <c r="BM3084" s="48"/>
      <c r="BN3084" s="48"/>
      <c r="BO3084" s="48"/>
      <c r="BP3084" s="48"/>
      <c r="BQ3084" s="48"/>
      <c r="BR3084" s="48"/>
      <c r="BS3084" s="48"/>
      <c r="BT3084" s="48"/>
      <c r="BU3084" s="49"/>
      <c r="BV3084" s="49"/>
    </row>
    <row r="3085" spans="1:74">
      <c r="A3085" s="1"/>
      <c r="B3085" s="1"/>
      <c r="D3085" s="48">
        <v>4</v>
      </c>
      <c r="E3085" s="48" t="s">
        <v>15</v>
      </c>
      <c r="F3085" s="6">
        <v>1</v>
      </c>
      <c r="P3085" s="48"/>
      <c r="Q3085" s="48"/>
      <c r="R3085" s="48"/>
      <c r="S3085" s="48"/>
      <c r="T3085" s="49"/>
      <c r="U3085" s="49"/>
      <c r="V3085" s="48"/>
      <c r="W3085" s="48"/>
      <c r="X3085" s="48"/>
      <c r="Y3085" s="48"/>
      <c r="Z3085" s="48"/>
      <c r="AA3085" s="48"/>
      <c r="AB3085" s="48"/>
      <c r="AC3085" s="48"/>
      <c r="AD3085" s="48"/>
      <c r="AE3085" s="48"/>
      <c r="AF3085" s="48"/>
      <c r="AG3085" s="48"/>
      <c r="AH3085" s="48"/>
      <c r="AI3085" s="48"/>
      <c r="AJ3085" s="48"/>
      <c r="AK3085" s="48"/>
      <c r="AL3085" s="48"/>
      <c r="AM3085" s="48"/>
      <c r="AN3085" s="48"/>
      <c r="AO3085" s="48"/>
      <c r="AP3085" s="48"/>
      <c r="AQ3085" s="48"/>
      <c r="AR3085" s="48"/>
      <c r="AS3085" s="48"/>
      <c r="AT3085" s="48"/>
      <c r="AU3085" s="48"/>
      <c r="AV3085" s="48"/>
      <c r="AW3085" s="48"/>
      <c r="AX3085" s="48"/>
      <c r="AY3085" s="48"/>
      <c r="AZ3085" s="48"/>
      <c r="BA3085" s="48"/>
      <c r="BB3085" s="48"/>
      <c r="BC3085" s="48"/>
      <c r="BD3085" s="48"/>
      <c r="BE3085" s="48"/>
      <c r="BF3085" s="48"/>
      <c r="BG3085" s="48"/>
      <c r="BH3085" s="48"/>
      <c r="BI3085" s="48"/>
      <c r="BJ3085" s="48"/>
      <c r="BK3085" s="48"/>
      <c r="BL3085" s="48"/>
      <c r="BM3085" s="48"/>
      <c r="BN3085" s="48"/>
      <c r="BO3085" s="48"/>
      <c r="BP3085" s="48"/>
      <c r="BQ3085" s="48"/>
      <c r="BR3085" s="48"/>
      <c r="BS3085" s="48"/>
      <c r="BT3085" s="48"/>
      <c r="BU3085" s="49"/>
      <c r="BV3085" s="49"/>
    </row>
    <row r="3086" spans="1:74">
      <c r="A3086" s="1"/>
      <c r="B3086" s="1"/>
      <c r="D3086" s="48"/>
      <c r="E3086" s="48" t="s">
        <v>113</v>
      </c>
      <c r="F3086" s="6">
        <v>200</v>
      </c>
      <c r="G3086" s="50">
        <v>512</v>
      </c>
      <c r="H3086" s="50">
        <f>12*256</f>
        <v>3072</v>
      </c>
      <c r="I3086" s="50">
        <f>G3086+18*256</f>
        <v>5120</v>
      </c>
      <c r="J3086" s="50">
        <f>H3086-8*256</f>
        <v>1024</v>
      </c>
      <c r="K3086" s="50" t="s">
        <v>22</v>
      </c>
      <c r="L3086" s="49">
        <v>1</v>
      </c>
      <c r="M3086" s="49">
        <v>0</v>
      </c>
      <c r="N3086" s="49">
        <f>COUNT(S3086:CD3086)</f>
        <v>5</v>
      </c>
      <c r="O3086" s="50">
        <v>0</v>
      </c>
      <c r="P3086" s="50">
        <v>0</v>
      </c>
      <c r="Q3086" s="49">
        <v>3</v>
      </c>
      <c r="R3086" s="49">
        <v>0</v>
      </c>
      <c r="S3086" s="49">
        <v>0</v>
      </c>
      <c r="T3086" s="49">
        <v>54.368257588480631</v>
      </c>
      <c r="U3086" s="49">
        <v>60</v>
      </c>
      <c r="V3086" s="49">
        <v>162.88932063900802</v>
      </c>
      <c r="W3086" s="49">
        <v>225</v>
      </c>
      <c r="X3086" s="49"/>
      <c r="Y3086" s="49"/>
      <c r="Z3086" s="49"/>
      <c r="AA3086" s="49"/>
      <c r="AB3086" s="49"/>
      <c r="AC3086" s="49"/>
      <c r="AD3086" s="49"/>
      <c r="AE3086" s="49"/>
      <c r="AF3086" s="49"/>
      <c r="AG3086" s="49"/>
      <c r="AH3086" s="49"/>
      <c r="AI3086" s="49"/>
      <c r="AJ3086" s="49"/>
      <c r="AK3086" s="49"/>
      <c r="AL3086" s="49"/>
      <c r="AM3086" s="49"/>
      <c r="AN3086" s="49"/>
      <c r="AO3086" s="49"/>
      <c r="AP3086" s="49"/>
      <c r="AQ3086" s="49"/>
      <c r="AR3086" s="49"/>
      <c r="AS3086" s="49"/>
      <c r="AT3086" s="49"/>
      <c r="AU3086" s="49"/>
      <c r="AV3086" s="49"/>
      <c r="AW3086" s="49"/>
      <c r="AX3086" s="48"/>
      <c r="AY3086" s="48"/>
      <c r="AZ3086" s="48"/>
      <c r="BA3086" s="48"/>
      <c r="BB3086" s="48"/>
      <c r="BC3086" s="48"/>
      <c r="BD3086" s="48"/>
      <c r="BE3086" s="48"/>
      <c r="BF3086" s="48"/>
      <c r="BG3086" s="48"/>
      <c r="BH3086" s="48"/>
      <c r="BI3086" s="48"/>
      <c r="BJ3086" s="48"/>
      <c r="BK3086" s="48"/>
      <c r="BL3086" s="48"/>
      <c r="BM3086" s="48"/>
      <c r="BN3086" s="48"/>
      <c r="BO3086" s="48"/>
      <c r="BP3086" s="48"/>
      <c r="BQ3086" s="48"/>
      <c r="BR3086" s="48"/>
      <c r="BS3086" s="48"/>
      <c r="BT3086" s="48"/>
      <c r="BU3086" s="48"/>
      <c r="BV3086" s="48"/>
    </row>
    <row r="3087" spans="1:74">
      <c r="A3087" s="1"/>
      <c r="B3087" s="1"/>
      <c r="D3087" s="48"/>
      <c r="E3087" s="1" t="s">
        <v>448</v>
      </c>
      <c r="K3087" s="36" t="s">
        <v>365</v>
      </c>
      <c r="L3087" s="50">
        <v>1</v>
      </c>
      <c r="M3087" s="49"/>
      <c r="N3087" s="48"/>
      <c r="P3087" s="49"/>
      <c r="Q3087" s="50">
        <v>2</v>
      </c>
      <c r="R3087" s="49"/>
      <c r="S3087" s="49">
        <v>0</v>
      </c>
      <c r="T3087" s="49">
        <v>20</v>
      </c>
      <c r="U3087" s="49">
        <v>20</v>
      </c>
      <c r="V3087" s="49">
        <v>90</v>
      </c>
      <c r="W3087" s="49">
        <v>90</v>
      </c>
      <c r="X3087" s="49"/>
      <c r="Y3087" s="49"/>
      <c r="Z3087" s="49"/>
      <c r="AA3087" s="49"/>
      <c r="AB3087" s="49"/>
      <c r="AC3087" s="49"/>
      <c r="AD3087" s="49"/>
      <c r="AE3087" s="49"/>
      <c r="AF3087" s="49"/>
      <c r="AG3087" s="49"/>
      <c r="AH3087" s="49"/>
      <c r="AI3087" s="49"/>
      <c r="AJ3087" s="49"/>
      <c r="AK3087" s="49"/>
      <c r="AL3087" s="49"/>
      <c r="AM3087" s="49"/>
      <c r="AN3087" s="49"/>
      <c r="AO3087" s="49"/>
      <c r="AP3087" s="49"/>
      <c r="AQ3087" s="49"/>
      <c r="AR3087" s="49"/>
      <c r="AS3087" s="49"/>
      <c r="AT3087" s="49"/>
      <c r="AU3087" s="49"/>
      <c r="AV3087" s="49"/>
      <c r="AW3087" s="49"/>
      <c r="AX3087" s="48"/>
      <c r="AY3087" s="48"/>
      <c r="AZ3087" s="48"/>
      <c r="BA3087" s="48"/>
      <c r="BB3087" s="48"/>
      <c r="BC3087" s="48"/>
      <c r="BD3087" s="48"/>
      <c r="BE3087" s="48"/>
      <c r="BF3087" s="48"/>
      <c r="BG3087" s="48"/>
      <c r="BH3087" s="48"/>
      <c r="BI3087" s="48"/>
      <c r="BJ3087" s="48"/>
      <c r="BK3087" s="48"/>
      <c r="BL3087" s="48"/>
      <c r="BM3087" s="48"/>
      <c r="BN3087" s="48"/>
      <c r="BO3087" s="48"/>
      <c r="BP3087" s="48"/>
      <c r="BQ3087" s="48"/>
      <c r="BR3087" s="48"/>
      <c r="BS3087" s="48"/>
      <c r="BT3087" s="48"/>
      <c r="BU3087" s="48"/>
      <c r="BV3087" s="48"/>
    </row>
    <row r="3088" spans="1:74">
      <c r="A3088" s="1"/>
      <c r="B3088" s="1"/>
      <c r="D3088" s="48"/>
      <c r="E3088" s="48" t="s">
        <v>113</v>
      </c>
      <c r="F3088" s="6">
        <v>200</v>
      </c>
      <c r="G3088" s="50">
        <f>G3086+256*24</f>
        <v>6656</v>
      </c>
      <c r="H3088" s="50">
        <f>H3086</f>
        <v>3072</v>
      </c>
      <c r="I3088" s="50">
        <f>G3088+18*256</f>
        <v>11264</v>
      </c>
      <c r="J3088" s="50">
        <f>H3088-8*256</f>
        <v>1024</v>
      </c>
      <c r="K3088" s="50" t="s">
        <v>22</v>
      </c>
      <c r="L3088" s="49">
        <v>1</v>
      </c>
      <c r="M3088" s="49"/>
      <c r="N3088" s="49">
        <f>COUNT(S3088:CD3088)</f>
        <v>4</v>
      </c>
      <c r="O3088" s="50"/>
      <c r="P3088" s="49"/>
      <c r="Q3088" s="6">
        <v>3</v>
      </c>
      <c r="R3088" s="49"/>
      <c r="S3088" s="49">
        <v>0</v>
      </c>
      <c r="T3088" s="49">
        <v>73.902922186595987</v>
      </c>
      <c r="U3088" s="49">
        <v>162.88932063900802</v>
      </c>
      <c r="V3088" s="49">
        <v>225</v>
      </c>
      <c r="W3088" s="49"/>
      <c r="X3088" s="49"/>
      <c r="Y3088" s="49"/>
      <c r="Z3088" s="48"/>
      <c r="AA3088" s="48"/>
      <c r="AB3088" s="48"/>
      <c r="AC3088" s="48"/>
      <c r="AD3088" s="49"/>
      <c r="AE3088" s="49"/>
      <c r="AF3088" s="49"/>
      <c r="AG3088" s="49"/>
      <c r="AH3088" s="49"/>
      <c r="AI3088" s="49"/>
      <c r="AJ3088" s="49"/>
      <c r="AK3088" s="49"/>
      <c r="AL3088" s="49"/>
      <c r="AM3088" s="49"/>
      <c r="AN3088" s="49"/>
      <c r="AO3088" s="49"/>
      <c r="AP3088" s="49"/>
      <c r="AQ3088" s="49"/>
      <c r="AR3088" s="49"/>
      <c r="AS3088" s="49"/>
      <c r="AT3088" s="49"/>
      <c r="AU3088" s="49"/>
      <c r="AV3088" s="49"/>
      <c r="AW3088" s="49"/>
      <c r="AX3088" s="49"/>
      <c r="AY3088" s="49"/>
      <c r="AZ3088" s="49"/>
      <c r="BA3088" s="49"/>
      <c r="BB3088" s="49"/>
      <c r="BC3088" s="49"/>
      <c r="BD3088" s="49"/>
      <c r="BE3088" s="48"/>
      <c r="BF3088" s="48"/>
      <c r="BG3088" s="48"/>
      <c r="BH3088" s="48"/>
      <c r="BI3088" s="48"/>
      <c r="BJ3088" s="48"/>
      <c r="BK3088" s="48"/>
      <c r="BL3088" s="48"/>
      <c r="BM3088" s="48"/>
      <c r="BN3088" s="48"/>
      <c r="BO3088" s="48"/>
      <c r="BP3088" s="48"/>
      <c r="BQ3088" s="48"/>
      <c r="BR3088" s="48"/>
      <c r="BS3088" s="48"/>
      <c r="BT3088" s="48"/>
      <c r="BU3088" s="48"/>
      <c r="BV3088" s="48"/>
    </row>
    <row r="3089" spans="1:74">
      <c r="D3089" s="48"/>
      <c r="E3089" s="1" t="s">
        <v>448</v>
      </c>
      <c r="K3089" s="36" t="s">
        <v>366</v>
      </c>
      <c r="L3089" s="50">
        <v>1</v>
      </c>
      <c r="M3089" s="49"/>
      <c r="N3089" s="48"/>
      <c r="P3089" s="49"/>
      <c r="Q3089" s="50">
        <v>-1</v>
      </c>
      <c r="R3089" s="49"/>
      <c r="S3089" s="49">
        <v>0</v>
      </c>
      <c r="T3089" s="49">
        <v>40.884704966921689</v>
      </c>
      <c r="U3089" s="49">
        <v>90</v>
      </c>
      <c r="V3089" s="49">
        <v>90</v>
      </c>
      <c r="W3089" s="49"/>
      <c r="X3089" s="49"/>
      <c r="Y3089" s="49"/>
      <c r="Z3089" s="48"/>
      <c r="AA3089" s="48"/>
      <c r="AB3089" s="48"/>
      <c r="AC3089" s="48"/>
      <c r="AD3089" s="49"/>
      <c r="AE3089" s="49"/>
      <c r="AF3089" s="49"/>
      <c r="AG3089" s="49"/>
      <c r="AH3089" s="49"/>
      <c r="AI3089" s="49"/>
      <c r="AJ3089" s="49"/>
      <c r="AK3089" s="49"/>
      <c r="AL3089" s="49"/>
      <c r="AM3089" s="49"/>
      <c r="AN3089" s="49"/>
      <c r="AO3089" s="49"/>
      <c r="AP3089" s="49"/>
      <c r="AQ3089" s="49"/>
      <c r="AR3089" s="49"/>
      <c r="AS3089" s="49"/>
      <c r="AT3089" s="49"/>
      <c r="AU3089" s="49"/>
      <c r="AV3089" s="49"/>
      <c r="AW3089" s="49"/>
      <c r="AX3089" s="49"/>
      <c r="AY3089" s="49"/>
      <c r="AZ3089" s="49"/>
      <c r="BA3089" s="49"/>
      <c r="BB3089" s="49"/>
      <c r="BC3089" s="49"/>
      <c r="BD3089" s="49"/>
      <c r="BE3089" s="48"/>
      <c r="BF3089" s="48"/>
      <c r="BG3089" s="48"/>
      <c r="BH3089" s="48"/>
      <c r="BI3089" s="48"/>
      <c r="BJ3089" s="48"/>
      <c r="BK3089" s="48"/>
      <c r="BL3089" s="48"/>
      <c r="BM3089" s="48"/>
      <c r="BN3089" s="48"/>
      <c r="BO3089" s="48"/>
      <c r="BP3089" s="48"/>
      <c r="BQ3089" s="48"/>
      <c r="BR3089" s="48"/>
      <c r="BS3089" s="48"/>
      <c r="BT3089" s="48"/>
      <c r="BU3089" s="48"/>
      <c r="BV3089" s="48"/>
    </row>
    <row r="3090" spans="1:74">
      <c r="D3090" s="48"/>
      <c r="E3090" s="48" t="s">
        <v>113</v>
      </c>
      <c r="F3090" s="6">
        <v>200</v>
      </c>
      <c r="G3090" s="50">
        <v>512</v>
      </c>
      <c r="H3090" s="50">
        <f>H3086+12*256</f>
        <v>6144</v>
      </c>
      <c r="I3090" s="50">
        <f>G3090+18*256</f>
        <v>5120</v>
      </c>
      <c r="J3090" s="50">
        <f>H3090-8*256</f>
        <v>4096</v>
      </c>
      <c r="K3090" s="50" t="s">
        <v>22</v>
      </c>
      <c r="L3090" s="50">
        <v>1</v>
      </c>
      <c r="M3090" s="49"/>
      <c r="N3090" s="49">
        <f>COUNT(S3090:CD3090)</f>
        <v>5</v>
      </c>
      <c r="O3090" s="50"/>
      <c r="P3090" s="49"/>
      <c r="Q3090" s="50">
        <v>3</v>
      </c>
      <c r="R3090" s="49"/>
      <c r="S3090" s="49">
        <v>0</v>
      </c>
      <c r="T3090" s="49">
        <v>54.368257588480631</v>
      </c>
      <c r="U3090" s="49">
        <v>60</v>
      </c>
      <c r="V3090" s="49">
        <v>162.88932063900802</v>
      </c>
      <c r="W3090" s="49">
        <v>225</v>
      </c>
      <c r="X3090" s="49"/>
      <c r="Y3090" s="49"/>
      <c r="Z3090" s="49"/>
      <c r="AA3090" s="49"/>
      <c r="AB3090" s="49"/>
      <c r="AC3090" s="49"/>
      <c r="AD3090" s="49"/>
      <c r="AE3090" s="49"/>
      <c r="AF3090" s="49"/>
      <c r="AG3090" s="49"/>
      <c r="AH3090" s="49"/>
      <c r="AI3090" s="49"/>
      <c r="AJ3090" s="49"/>
      <c r="AK3090" s="49"/>
      <c r="AL3090" s="49"/>
      <c r="AM3090" s="49"/>
      <c r="AN3090" s="49"/>
      <c r="AO3090" s="49"/>
      <c r="AP3090" s="49"/>
      <c r="AQ3090" s="49"/>
      <c r="AR3090" s="49"/>
      <c r="AS3090" s="49"/>
      <c r="AT3090" s="49"/>
      <c r="AU3090" s="49"/>
      <c r="AV3090" s="49"/>
      <c r="AW3090" s="49"/>
      <c r="AX3090" s="48"/>
      <c r="AY3090" s="48"/>
      <c r="AZ3090" s="48"/>
      <c r="BA3090" s="48"/>
      <c r="BB3090" s="48"/>
      <c r="BC3090" s="48"/>
      <c r="BD3090" s="48"/>
      <c r="BE3090" s="48"/>
      <c r="BF3090" s="48"/>
      <c r="BG3090" s="48"/>
      <c r="BH3090" s="48"/>
      <c r="BI3090" s="48"/>
      <c r="BJ3090" s="48"/>
      <c r="BK3090" s="48"/>
      <c r="BL3090" s="48"/>
      <c r="BM3090" s="48"/>
      <c r="BN3090" s="48"/>
      <c r="BO3090" s="48"/>
      <c r="BP3090" s="48"/>
      <c r="BQ3090" s="48"/>
      <c r="BR3090" s="48"/>
      <c r="BS3090" s="48"/>
      <c r="BT3090" s="48"/>
      <c r="BU3090" s="48"/>
      <c r="BV3090" s="48"/>
    </row>
    <row r="3091" spans="1:74">
      <c r="D3091" s="48"/>
      <c r="E3091" s="1" t="s">
        <v>448</v>
      </c>
      <c r="K3091" s="36" t="s">
        <v>367</v>
      </c>
      <c r="L3091" s="50">
        <v>1</v>
      </c>
      <c r="M3091" s="49"/>
      <c r="N3091" s="48"/>
      <c r="P3091" s="49"/>
      <c r="Q3091" s="50">
        <v>2</v>
      </c>
      <c r="R3091" s="49"/>
      <c r="S3091" s="49">
        <v>0</v>
      </c>
      <c r="T3091" s="49">
        <v>20</v>
      </c>
      <c r="U3091" s="49">
        <v>20</v>
      </c>
      <c r="V3091" s="49">
        <v>90</v>
      </c>
      <c r="W3091" s="49">
        <v>90</v>
      </c>
      <c r="X3091" s="49"/>
      <c r="Y3091" s="49"/>
      <c r="Z3091" s="49"/>
      <c r="AA3091" s="49"/>
      <c r="AB3091" s="49"/>
      <c r="AC3091" s="49"/>
      <c r="AD3091" s="49"/>
      <c r="AE3091" s="49"/>
      <c r="AF3091" s="49"/>
      <c r="AG3091" s="49"/>
      <c r="AH3091" s="49"/>
      <c r="AI3091" s="49"/>
      <c r="AJ3091" s="49"/>
      <c r="AK3091" s="49"/>
      <c r="AL3091" s="49"/>
      <c r="AM3091" s="49"/>
      <c r="AN3091" s="49"/>
      <c r="AO3091" s="49"/>
      <c r="AP3091" s="49"/>
      <c r="AQ3091" s="49"/>
      <c r="AR3091" s="49"/>
      <c r="AS3091" s="49"/>
      <c r="AT3091" s="49"/>
      <c r="AU3091" s="49"/>
      <c r="AV3091" s="49"/>
      <c r="AW3091" s="49"/>
      <c r="AX3091" s="49"/>
      <c r="AY3091" s="49"/>
      <c r="AZ3091" s="49"/>
      <c r="BA3091" s="49"/>
      <c r="BB3091" s="49"/>
      <c r="BC3091" s="49"/>
      <c r="BD3091" s="49"/>
      <c r="BE3091" s="49"/>
      <c r="BF3091" s="49"/>
      <c r="BG3091" s="49"/>
      <c r="BH3091" s="49"/>
      <c r="BI3091" s="49"/>
      <c r="BJ3091" s="49"/>
      <c r="BK3091" s="49"/>
      <c r="BL3091" s="49"/>
      <c r="BM3091" s="49"/>
      <c r="BN3091" s="49"/>
      <c r="BO3091" s="49"/>
      <c r="BP3091" s="49"/>
      <c r="BQ3091" s="49"/>
      <c r="BR3091" s="49"/>
      <c r="BS3091" s="49"/>
      <c r="BT3091" s="49"/>
      <c r="BU3091" s="49"/>
      <c r="BV3091" s="49"/>
    </row>
    <row r="3092" spans="1:74">
      <c r="D3092" s="48"/>
      <c r="E3092" s="48" t="s">
        <v>113</v>
      </c>
      <c r="F3092" s="6">
        <v>200</v>
      </c>
      <c r="G3092" s="50">
        <f>G3090+256*24</f>
        <v>6656</v>
      </c>
      <c r="H3092" s="50">
        <f>H3088+12*256</f>
        <v>6144</v>
      </c>
      <c r="I3092" s="50">
        <f>G3092+18*256</f>
        <v>11264</v>
      </c>
      <c r="J3092" s="50">
        <f>H3092-8*256</f>
        <v>4096</v>
      </c>
      <c r="K3092" s="50" t="s">
        <v>22</v>
      </c>
      <c r="L3092" s="50">
        <v>1</v>
      </c>
      <c r="M3092" s="49"/>
      <c r="N3092" s="49">
        <f>COUNT(S3092:CD3092)</f>
        <v>38</v>
      </c>
      <c r="O3092" s="50"/>
      <c r="P3092" s="49"/>
      <c r="Q3092" s="50">
        <v>3</v>
      </c>
      <c r="R3092" s="49"/>
      <c r="S3092" s="49">
        <v>0</v>
      </c>
      <c r="T3092" s="49">
        <v>6.6324488817892</v>
      </c>
      <c r="U3092" s="49">
        <v>7.342370165980932</v>
      </c>
      <c r="V3092" s="49">
        <v>8.1300828211568561</v>
      </c>
      <c r="W3092" s="49">
        <v>9.004374201849247</v>
      </c>
      <c r="X3092" s="49">
        <v>9.9750618080309756</v>
      </c>
      <c r="Y3092" s="49">
        <v>11.05311923878236</v>
      </c>
      <c r="Z3092" s="48">
        <v>12.250818237587652</v>
      </c>
      <c r="AA3092" s="48">
        <v>13.581888973462464</v>
      </c>
      <c r="AB3092" s="48">
        <v>15.061700998632496</v>
      </c>
      <c r="AC3092" s="48">
        <v>16.707467662274681</v>
      </c>
      <c r="AD3092" s="49">
        <v>18.538477147064427</v>
      </c>
      <c r="AE3092" s="49">
        <v>20.576353738032203</v>
      </c>
      <c r="AF3092" s="49">
        <v>22.845353439658549</v>
      </c>
      <c r="AG3092" s="49">
        <v>25.372698636581021</v>
      </c>
      <c r="AH3092" s="49">
        <v>28.188957156495576</v>
      </c>
      <c r="AI3092" s="49">
        <v>31.328471853161602</v>
      </c>
      <c r="AJ3092" s="49">
        <v>34.829847697063208</v>
      </c>
      <c r="AK3092" s="49">
        <v>38.736504357567384</v>
      </c>
      <c r="AL3092" s="49">
        <v>43.097303402127025</v>
      </c>
      <c r="AM3092" s="49">
        <v>47.967260546798684</v>
      </c>
      <c r="AN3092" s="49">
        <v>53.408354892922475</v>
      </c>
      <c r="AO3092" s="49">
        <v>59.490448805823917</v>
      </c>
      <c r="AP3092" s="49">
        <v>66.29233406573077</v>
      </c>
      <c r="AQ3092" s="49">
        <v>73.902922186595987</v>
      </c>
      <c r="AR3092" s="49">
        <v>79.56162973370067</v>
      </c>
      <c r="AS3092" s="49">
        <v>85.440011772907923</v>
      </c>
      <c r="AT3092" s="49">
        <v>91.561363505480642</v>
      </c>
      <c r="AU3092" s="49">
        <v>97.951450453184918</v>
      </c>
      <c r="AV3092" s="49">
        <v>104.63877042140091</v>
      </c>
      <c r="AW3092" s="49">
        <v>111.6548432418966</v>
      </c>
      <c r="AX3092" s="49">
        <v>119.03453124113651</v>
      </c>
      <c r="AY3092" s="49">
        <v>126.81639369238906</v>
      </c>
      <c r="AZ3092" s="49">
        <v>135.04307885541692</v>
      </c>
      <c r="BA3092" s="49">
        <v>143.7617575896947</v>
      </c>
      <c r="BB3092" s="49">
        <v>153.02460294978414</v>
      </c>
      <c r="BC3092" s="49">
        <v>162.88932063900802</v>
      </c>
      <c r="BD3092" s="49">
        <v>225</v>
      </c>
      <c r="BE3092" s="49"/>
      <c r="BF3092" s="49"/>
      <c r="BG3092" s="49"/>
      <c r="BH3092" s="49"/>
      <c r="BI3092" s="49"/>
      <c r="BJ3092" s="49"/>
      <c r="BK3092" s="49"/>
      <c r="BL3092" s="49"/>
      <c r="BM3092" s="49"/>
      <c r="BN3092" s="49"/>
      <c r="BO3092" s="49"/>
      <c r="BP3092" s="49"/>
      <c r="BQ3092" s="49"/>
      <c r="BR3092" s="49"/>
      <c r="BS3092" s="49"/>
      <c r="BT3092" s="49"/>
      <c r="BU3092" s="49"/>
      <c r="BV3092" s="49"/>
    </row>
    <row r="3093" spans="1:74">
      <c r="D3093" s="48"/>
      <c r="E3093" s="1" t="s">
        <v>448</v>
      </c>
      <c r="K3093" s="36" t="s">
        <v>368</v>
      </c>
      <c r="L3093" s="50">
        <v>1</v>
      </c>
      <c r="M3093" s="49"/>
      <c r="N3093" s="48"/>
      <c r="P3093" s="49"/>
      <c r="Q3093" s="50">
        <v>2</v>
      </c>
      <c r="R3093" s="49"/>
      <c r="S3093" s="49">
        <v>0</v>
      </c>
      <c r="T3093" s="49">
        <v>2.9453636214692662</v>
      </c>
      <c r="U3093" s="49">
        <v>3.2844974421863613</v>
      </c>
      <c r="V3093" s="49">
        <v>3.6642765206140084</v>
      </c>
      <c r="W3093" s="49">
        <v>4.089788864091358</v>
      </c>
      <c r="X3093" s="49">
        <v>4.5667876436142931</v>
      </c>
      <c r="Y3093" s="49">
        <v>5.1017816764935144</v>
      </c>
      <c r="Z3093" s="48">
        <v>5.7021386386384965</v>
      </c>
      <c r="AA3093" s="48">
        <v>6.3762028457195319</v>
      </c>
      <c r="AB3093" s="48">
        <v>7.1334297135780602</v>
      </c>
      <c r="AC3093" s="48">
        <v>7.9845393199187704</v>
      </c>
      <c r="AD3093" s="49">
        <v>8.94169184765091</v>
      </c>
      <c r="AE3093" s="49">
        <v>10.018688102307358</v>
      </c>
      <c r="AF3093" s="49">
        <v>11.231198769889435</v>
      </c>
      <c r="AG3093" s="49">
        <v>12.597026626632481</v>
      </c>
      <c r="AH3093" s="49">
        <v>14.136406539358726</v>
      </c>
      <c r="AI3093" s="49">
        <v>15.872348816723614</v>
      </c>
      <c r="AJ3093" s="49">
        <v>17.831032302110639</v>
      </c>
      <c r="AK3093" s="49">
        <v>20.042254554718649</v>
      </c>
      <c r="AL3093" s="49">
        <v>22.539947565568852</v>
      </c>
      <c r="AM3093" s="49">
        <v>25.36276872170199</v>
      </c>
      <c r="AN3093" s="49">
        <v>28.554778190061953</v>
      </c>
      <c r="AO3093" s="49">
        <v>32.166215571664587</v>
      </c>
      <c r="AP3093" s="49">
        <v>36.25439061028986</v>
      </c>
      <c r="AQ3093" s="49">
        <v>40.884704966921689</v>
      </c>
      <c r="AR3093" s="49">
        <v>43.099406368363063</v>
      </c>
      <c r="AS3093" s="49">
        <v>45.548963962664942</v>
      </c>
      <c r="AT3093" s="49">
        <v>48.258282882089887</v>
      </c>
      <c r="AU3093" s="49">
        <v>51.254909303215513</v>
      </c>
      <c r="AV3093" s="49">
        <v>54.569310514311816</v>
      </c>
      <c r="AW3093" s="49">
        <v>58.235184682233694</v>
      </c>
      <c r="AX3093" s="49">
        <v>62.289803468289442</v>
      </c>
      <c r="AY3093" s="49">
        <v>66.774390976527798</v>
      </c>
      <c r="AZ3093" s="49">
        <v>71.734542887285272</v>
      </c>
      <c r="BA3093" s="49">
        <v>77.220690037406456</v>
      </c>
      <c r="BB3093" s="49">
        <v>83.288611160448539</v>
      </c>
      <c r="BC3093" s="49">
        <v>90</v>
      </c>
      <c r="BD3093" s="49">
        <v>90</v>
      </c>
      <c r="BE3093" s="49"/>
      <c r="BF3093" s="49"/>
      <c r="BG3093" s="49"/>
      <c r="BH3093" s="49"/>
      <c r="BI3093" s="49"/>
      <c r="BJ3093" s="49"/>
      <c r="BK3093" s="49"/>
      <c r="BL3093" s="49"/>
      <c r="BM3093" s="49"/>
      <c r="BN3093" s="49"/>
      <c r="BO3093" s="49"/>
      <c r="BP3093" s="49"/>
      <c r="BQ3093" s="49"/>
      <c r="BR3093" s="49"/>
      <c r="BS3093" s="49"/>
      <c r="BT3093" s="49"/>
      <c r="BU3093" s="49"/>
      <c r="BV3093" s="49"/>
    </row>
    <row r="3094" spans="1:74">
      <c r="D3094" s="48"/>
      <c r="E3094" s="48" t="s">
        <v>113</v>
      </c>
      <c r="F3094" s="6">
        <v>200</v>
      </c>
      <c r="G3094" s="50">
        <v>512</v>
      </c>
      <c r="H3094" s="50">
        <f>H3090+12*256</f>
        <v>9216</v>
      </c>
      <c r="I3094" s="50">
        <f>G3094+18*256</f>
        <v>5120</v>
      </c>
      <c r="J3094" s="50">
        <f>H3094-8*256</f>
        <v>7168</v>
      </c>
      <c r="K3094" s="50" t="s">
        <v>22</v>
      </c>
      <c r="L3094" s="50">
        <v>1</v>
      </c>
      <c r="M3094" s="49"/>
      <c r="N3094" s="49">
        <f>COUNT(S3094:CD3094)</f>
        <v>38</v>
      </c>
      <c r="O3094" s="50"/>
      <c r="P3094" s="49"/>
      <c r="Q3094" s="50">
        <v>3</v>
      </c>
      <c r="R3094" s="49"/>
      <c r="S3094" s="49">
        <v>0</v>
      </c>
      <c r="T3094" s="49">
        <v>13.240064320592708</v>
      </c>
      <c r="U3094" s="49">
        <v>14.892553086617157</v>
      </c>
      <c r="V3094" s="49">
        <v>16.700442364818926</v>
      </c>
      <c r="W3094" s="49">
        <v>18.674306587597759</v>
      </c>
      <c r="X3094" s="48">
        <v>20.825224518347014</v>
      </c>
      <c r="Y3094" s="48">
        <v>23.164862845838069</v>
      </c>
      <c r="Z3094" s="48">
        <v>25.705570156358291</v>
      </c>
      <c r="AA3094" s="48">
        <v>28.460473225494848</v>
      </c>
      <c r="AB3094" s="48">
        <v>31.443564459526691</v>
      </c>
      <c r="AC3094" s="48">
        <v>34.669766439580577</v>
      </c>
      <c r="AD3094" s="49">
        <v>38.154957328645217</v>
      </c>
      <c r="AE3094" s="49">
        <v>41.915939950798546</v>
      </c>
      <c r="AF3094" s="49">
        <v>45.970338261541507</v>
      </c>
      <c r="AG3094" s="49">
        <v>50.336408263609997</v>
      </c>
      <c r="AH3094" s="49">
        <v>55.032756520943323</v>
      </c>
      <c r="AI3094" s="49">
        <v>60.07796817847715</v>
      </c>
      <c r="AJ3094" s="49">
        <v>65.490157072963157</v>
      </c>
      <c r="AK3094" s="49">
        <v>71.286461699826276</v>
      </c>
      <c r="AL3094" s="49">
        <v>77.482520536269092</v>
      </c>
      <c r="AM3094" s="49">
        <v>84.091966442396995</v>
      </c>
      <c r="AN3094" s="49">
        <v>91.12598094528289</v>
      </c>
      <c r="AO3094" s="49">
        <v>98.592944513250401</v>
      </c>
      <c r="AP3094" s="49">
        <v>106.4982090747896</v>
      </c>
      <c r="AQ3094" s="49">
        <v>114.84400581007634</v>
      </c>
      <c r="AR3094" s="49">
        <v>120.57639760894489</v>
      </c>
      <c r="AS3094" s="49">
        <v>126.46398613004789</v>
      </c>
      <c r="AT3094" s="49">
        <v>132.50647746895157</v>
      </c>
      <c r="AU3094" s="49">
        <v>138.70305450068096</v>
      </c>
      <c r="AV3094" s="49">
        <v>145.05241569269</v>
      </c>
      <c r="AW3094" s="49">
        <v>151.55281839087712</v>
      </c>
      <c r="AX3094" s="49">
        <v>158.20212499641778</v>
      </c>
      <c r="AY3094" s="49">
        <v>164.99785056685036</v>
      </c>
      <c r="AZ3094" s="49">
        <v>171.93721054024678</v>
      </c>
      <c r="BA3094" s="49">
        <v>179.01716747723287</v>
      </c>
      <c r="BB3094" s="49">
        <v>186.23447592477979</v>
      </c>
      <c r="BC3094" s="49">
        <v>193.58572471368649</v>
      </c>
      <c r="BD3094" s="49">
        <v>225</v>
      </c>
      <c r="BE3094" s="49"/>
      <c r="BF3094" s="49"/>
      <c r="BG3094" s="49"/>
      <c r="BH3094" s="49"/>
      <c r="BI3094" s="49"/>
      <c r="BJ3094" s="49"/>
      <c r="BK3094" s="49"/>
      <c r="BL3094" s="49"/>
      <c r="BM3094" s="49"/>
      <c r="BN3094" s="49"/>
      <c r="BO3094" s="49"/>
      <c r="BP3094" s="49"/>
      <c r="BQ3094" s="49"/>
      <c r="BR3094" s="49"/>
      <c r="BS3094" s="49"/>
      <c r="BT3094" s="49"/>
      <c r="BU3094" s="49"/>
      <c r="BV3094" s="49"/>
    </row>
    <row r="3095" spans="1:74">
      <c r="D3095" s="48"/>
      <c r="E3095" s="1" t="s">
        <v>448</v>
      </c>
      <c r="K3095" s="36" t="s">
        <v>370</v>
      </c>
      <c r="L3095" s="50">
        <v>1</v>
      </c>
      <c r="M3095" s="49"/>
      <c r="N3095" s="48"/>
      <c r="P3095" s="49"/>
      <c r="Q3095" s="50">
        <v>2</v>
      </c>
      <c r="R3095" s="49"/>
      <c r="S3095" s="49">
        <v>0</v>
      </c>
      <c r="T3095" s="49">
        <v>8.4483450529334938</v>
      </c>
      <c r="U3095" s="49">
        <v>9.3430102308768781</v>
      </c>
      <c r="V3095" s="49">
        <v>10.318210984200906</v>
      </c>
      <c r="W3095" s="49">
        <v>11.380939022246128</v>
      </c>
      <c r="X3095" s="48">
        <v>12.539119407568947</v>
      </c>
      <c r="Y3095" s="48">
        <v>13.801691293421911</v>
      </c>
      <c r="Z3095" s="48">
        <v>15.178633606792484</v>
      </c>
      <c r="AA3095" s="48">
        <v>16.680909948654151</v>
      </c>
      <c r="AB3095" s="48">
        <v>18.320305747570444</v>
      </c>
      <c r="AC3095" s="48">
        <v>20.109132412523795</v>
      </c>
      <c r="AD3095" s="49">
        <v>22.059779181326896</v>
      </c>
      <c r="AE3095" s="49">
        <v>24.184104783208493</v>
      </c>
      <c r="AF3095" s="49">
        <v>26.492678647517529</v>
      </c>
      <c r="AG3095" s="49">
        <v>28.993904773263171</v>
      </c>
      <c r="AH3095" s="49">
        <v>31.693088305340162</v>
      </c>
      <c r="AI3095" s="49">
        <v>34.591530942721519</v>
      </c>
      <c r="AJ3095" s="49">
        <v>37.685760250377584</v>
      </c>
      <c r="AK3095" s="49">
        <v>40.96700287449022</v>
      </c>
      <c r="AL3095" s="49">
        <v>44.42099726574385</v>
      </c>
      <c r="AM3095" s="49">
        <v>48.028206534183994</v>
      </c>
      <c r="AN3095" s="49">
        <v>51.764440893157399</v>
      </c>
      <c r="AO3095" s="49">
        <v>55.601841588763762</v>
      </c>
      <c r="AP3095" s="49">
        <v>59.510126907713136</v>
      </c>
      <c r="AQ3095" s="49">
        <v>63.457967352867279</v>
      </c>
      <c r="AR3095" s="49">
        <v>65.776323993697957</v>
      </c>
      <c r="AS3095" s="49">
        <v>68.098601464642755</v>
      </c>
      <c r="AT3095" s="49">
        <v>70.416481113035161</v>
      </c>
      <c r="AU3095" s="49">
        <v>72.722133757576657</v>
      </c>
      <c r="AV3095" s="49">
        <v>75.008310992677679</v>
      </c>
      <c r="AW3095" s="49">
        <v>77.268412120619629</v>
      </c>
      <c r="AX3095" s="49">
        <v>79.496527408134611</v>
      </c>
      <c r="AY3095" s="49">
        <v>81.687459398140987</v>
      </c>
      <c r="AZ3095" s="49">
        <v>83.83672475151387</v>
      </c>
      <c r="BA3095" s="49">
        <v>85.940539550735849</v>
      </c>
      <c r="BB3095" s="49">
        <v>87.99579119512174</v>
      </c>
      <c r="BC3095" s="49">
        <v>90</v>
      </c>
      <c r="BD3095" s="49">
        <v>90</v>
      </c>
      <c r="BE3095" s="49"/>
      <c r="BF3095" s="49"/>
      <c r="BG3095" s="49"/>
      <c r="BH3095" s="49"/>
      <c r="BI3095" s="49"/>
      <c r="BJ3095" s="49"/>
      <c r="BK3095" s="49"/>
      <c r="BL3095" s="49"/>
      <c r="BM3095" s="49"/>
      <c r="BN3095" s="49"/>
      <c r="BO3095" s="49"/>
      <c r="BP3095" s="49"/>
      <c r="BQ3095" s="49"/>
      <c r="BR3095" s="49"/>
      <c r="BS3095" s="49"/>
      <c r="BT3095" s="49"/>
      <c r="BU3095" s="49"/>
      <c r="BV3095" s="49"/>
    </row>
    <row r="3096" spans="1:74">
      <c r="D3096" s="48"/>
      <c r="E3096" s="48" t="s">
        <v>113</v>
      </c>
      <c r="F3096" s="6">
        <v>200</v>
      </c>
      <c r="G3096" s="50">
        <f>G3094+256*24</f>
        <v>6656</v>
      </c>
      <c r="H3096" s="50">
        <f>H3092+12*256</f>
        <v>9216</v>
      </c>
      <c r="I3096" s="50">
        <f>G3096+18*256</f>
        <v>11264</v>
      </c>
      <c r="J3096" s="50">
        <f>H3096-8*256</f>
        <v>7168</v>
      </c>
      <c r="K3096" s="50" t="s">
        <v>22</v>
      </c>
      <c r="L3096" s="50">
        <v>1</v>
      </c>
      <c r="M3096" s="49"/>
      <c r="N3096" s="49">
        <f>COUNT(S3096:CD3096)</f>
        <v>56</v>
      </c>
      <c r="O3096" s="50"/>
      <c r="P3096" s="49"/>
      <c r="Q3096" s="50">
        <v>3</v>
      </c>
      <c r="R3096" s="49"/>
      <c r="S3096" s="48">
        <v>0</v>
      </c>
      <c r="T3096" s="48">
        <v>1.6472513971752394</v>
      </c>
      <c r="U3096" s="48">
        <v>3.4250923639832473</v>
      </c>
      <c r="V3096" s="48">
        <v>5.2883663259941747</v>
      </c>
      <c r="W3096" s="48">
        <v>7.2347667585416566</v>
      </c>
      <c r="X3096" s="48">
        <v>9.256844013061718</v>
      </c>
      <c r="Y3096" s="48">
        <v>11.336215671511599</v>
      </c>
      <c r="Z3096" s="48">
        <v>13.483828054435339</v>
      </c>
      <c r="AA3096" s="48">
        <v>15.687822822017337</v>
      </c>
      <c r="AB3096" s="48">
        <v>17.9292245159765</v>
      </c>
      <c r="AC3096" s="48">
        <v>20.232695917233816</v>
      </c>
      <c r="AD3096" s="48">
        <v>22.591186772891678</v>
      </c>
      <c r="AE3096" s="48">
        <v>24.998154786332677</v>
      </c>
      <c r="AF3096" s="48">
        <v>27.447343738426746</v>
      </c>
      <c r="AG3096" s="48">
        <v>29.95375804704161</v>
      </c>
      <c r="AH3096" s="48">
        <v>32.499666792595448</v>
      </c>
      <c r="AI3096" s="48">
        <v>35.092584825362565</v>
      </c>
      <c r="AJ3096" s="48">
        <v>37.727008978916935</v>
      </c>
      <c r="AK3096" s="48">
        <v>40.430567882717433</v>
      </c>
      <c r="AL3096" s="48">
        <v>43.176189876560301</v>
      </c>
      <c r="AM3096" s="48">
        <v>45.962542296159754</v>
      </c>
      <c r="AN3096" s="48">
        <v>48.755406598081841</v>
      </c>
      <c r="AO3096" s="48">
        <v>51.591293572525572</v>
      </c>
      <c r="AP3096" s="48">
        <v>54.511348561925118</v>
      </c>
      <c r="AQ3096" s="48">
        <v>57.510696045658435</v>
      </c>
      <c r="AR3096" s="48">
        <v>60.493865939518223</v>
      </c>
      <c r="AS3096" s="48">
        <v>63.517019377949019</v>
      </c>
      <c r="AT3096" s="48">
        <v>66.651661145842795</v>
      </c>
      <c r="AU3096" s="48">
        <v>69.79138604953485</v>
      </c>
      <c r="AV3096" s="48">
        <v>73.008100962510042</v>
      </c>
      <c r="AW3096" s="48">
        <v>76.289431205043215</v>
      </c>
      <c r="AX3096" s="48">
        <v>79.622874223257853</v>
      </c>
      <c r="AY3096" s="48">
        <v>82.958713870392216</v>
      </c>
      <c r="AZ3096" s="48">
        <v>86.366315059861194</v>
      </c>
      <c r="BA3096" s="48">
        <v>89.872228562197833</v>
      </c>
      <c r="BB3096" s="48">
        <v>93.431073166127902</v>
      </c>
      <c r="BC3096" s="48">
        <v>97.076369648406313</v>
      </c>
      <c r="BD3096" s="48">
        <v>100.82731200726077</v>
      </c>
      <c r="BE3096" s="48">
        <v>104.62640954087981</v>
      </c>
      <c r="BF3096" s="48">
        <v>108.54240093734252</v>
      </c>
      <c r="BG3096" s="48">
        <v>112.48664897973764</v>
      </c>
      <c r="BH3096" s="48">
        <v>116.57582116727575</v>
      </c>
      <c r="BI3096" s="48">
        <v>120.80537453297269</v>
      </c>
      <c r="BJ3096" s="48">
        <v>125.10308792505144</v>
      </c>
      <c r="BK3096" s="48">
        <v>129.61700108002279</v>
      </c>
      <c r="BL3096" s="48">
        <v>134.26851503392257</v>
      </c>
      <c r="BM3096" s="48">
        <v>139.1877533027542</v>
      </c>
      <c r="BN3096" s="48">
        <v>144.27596501651928</v>
      </c>
      <c r="BO3096" s="48">
        <v>149.70718197894348</v>
      </c>
      <c r="BP3096" s="48">
        <v>155.44937727219141</v>
      </c>
      <c r="BQ3096" s="48">
        <v>161.64401477298347</v>
      </c>
      <c r="BR3096" s="48">
        <v>168.53311516851892</v>
      </c>
      <c r="BS3096" s="48">
        <v>176.30538329172572</v>
      </c>
      <c r="BT3096" s="48">
        <v>185.69886199560275</v>
      </c>
      <c r="BU3096" s="48">
        <v>198.29790273916436</v>
      </c>
      <c r="BV3096" s="48">
        <v>225</v>
      </c>
    </row>
    <row r="3097" spans="1:74">
      <c r="D3097" s="48">
        <v>4</v>
      </c>
      <c r="E3097" s="48" t="s">
        <v>15</v>
      </c>
      <c r="F3097" s="6">
        <v>4</v>
      </c>
      <c r="K3097" s="36" t="s">
        <v>369</v>
      </c>
      <c r="L3097" s="50">
        <v>1</v>
      </c>
      <c r="P3097" s="48"/>
      <c r="Q3097" s="50">
        <v>2</v>
      </c>
      <c r="R3097" s="49"/>
      <c r="S3097" s="48">
        <v>0</v>
      </c>
      <c r="T3097" s="48">
        <v>1.0749500000000365</v>
      </c>
      <c r="U3097" s="48">
        <v>2.1859500000002985</v>
      </c>
      <c r="V3097" s="48">
        <v>3.3252000000007627</v>
      </c>
      <c r="W3097" s="48">
        <v>4.4907000000003725</v>
      </c>
      <c r="X3097" s="48">
        <v>5.6797500000015209</v>
      </c>
      <c r="Y3097" s="48">
        <v>6.8912000000012119</v>
      </c>
      <c r="Z3097" s="48">
        <v>8.1275499999994327</v>
      </c>
      <c r="AA3097" s="48">
        <v>9.3868000000003811</v>
      </c>
      <c r="AB3097" s="48">
        <v>10.663700000001571</v>
      </c>
      <c r="AC3097" s="48">
        <v>11.965950000002801</v>
      </c>
      <c r="AD3097" s="48">
        <v>13.290350000002769</v>
      </c>
      <c r="AE3097" s="48">
        <v>14.640700000000976</v>
      </c>
      <c r="AF3097" s="48">
        <v>16.011749999998575</v>
      </c>
      <c r="AG3097" s="48">
        <v>17.406799999997673</v>
      </c>
      <c r="AH3097" s="48">
        <v>18.818249999997402</v>
      </c>
      <c r="AI3097" s="48">
        <v>20.259349999997841</v>
      </c>
      <c r="AJ3097" s="48">
        <v>21.717899999999393</v>
      </c>
      <c r="AK3097" s="48">
        <v>23.202750000001618</v>
      </c>
      <c r="AL3097" s="48">
        <v>24.708850000001771</v>
      </c>
      <c r="AM3097" s="48">
        <v>26.236049999999985</v>
      </c>
      <c r="AN3097" s="48">
        <v>27.784549999998472</v>
      </c>
      <c r="AO3097" s="48">
        <v>29.354699999999035</v>
      </c>
      <c r="AP3097" s="48">
        <v>30.94500000000335</v>
      </c>
      <c r="AQ3097" s="48">
        <v>32.556550000004478</v>
      </c>
      <c r="AR3097" s="48">
        <v>34.18885000000239</v>
      </c>
      <c r="AS3097" s="48">
        <v>35.840350000000619</v>
      </c>
      <c r="AT3097" s="48">
        <v>37.510049999998905</v>
      </c>
      <c r="AU3097" s="48">
        <v>39.207999999999586</v>
      </c>
      <c r="AV3097" s="48">
        <v>40.920349999997825</v>
      </c>
      <c r="AW3097" s="48">
        <v>42.645649999995335</v>
      </c>
      <c r="AX3097" s="48">
        <v>44.385599999996515</v>
      </c>
      <c r="AY3097" s="48">
        <v>46.142549999997357</v>
      </c>
      <c r="AZ3097" s="48">
        <v>47.925100000007433</v>
      </c>
      <c r="BA3097" s="48">
        <v>49.721200000004963</v>
      </c>
      <c r="BB3097" s="48">
        <v>51.530549999999145</v>
      </c>
      <c r="BC3097" s="48">
        <v>53.34870000000307</v>
      </c>
      <c r="BD3097" s="48">
        <v>55.186549999992849</v>
      </c>
      <c r="BE3097" s="48">
        <v>57.036200000002147</v>
      </c>
      <c r="BF3097" s="48">
        <v>58.897049999983224</v>
      </c>
      <c r="BG3097" s="48">
        <v>60.768100000014847</v>
      </c>
      <c r="BH3097" s="48">
        <v>62.654150000011342</v>
      </c>
      <c r="BI3097" s="48">
        <v>64.554750000004731</v>
      </c>
      <c r="BJ3097" s="48">
        <v>66.465950000005819</v>
      </c>
      <c r="BK3097" s="48">
        <v>68.382049999995218</v>
      </c>
      <c r="BL3097" s="48">
        <v>70.309800000013453</v>
      </c>
      <c r="BM3097" s="48">
        <v>72.247149999995585</v>
      </c>
      <c r="BN3097" s="48">
        <v>74.191549999991651</v>
      </c>
      <c r="BO3097" s="48">
        <v>76.143349999976223</v>
      </c>
      <c r="BP3097" s="48">
        <v>78.104550000025256</v>
      </c>
      <c r="BQ3097" s="48">
        <v>80.073400000006757</v>
      </c>
      <c r="BR3097" s="48">
        <v>82.049099999986069</v>
      </c>
      <c r="BS3097" s="48">
        <v>84.026249999972038</v>
      </c>
      <c r="BT3097" s="48">
        <v>86.01225000001152</v>
      </c>
      <c r="BU3097" s="48">
        <v>88.003800000001263</v>
      </c>
      <c r="BV3097" s="48">
        <v>90</v>
      </c>
    </row>
    <row r="3098" spans="1:74">
      <c r="D3098" s="49">
        <f>F3098*2+4</f>
        <v>16</v>
      </c>
      <c r="E3098" s="48" t="s">
        <v>4</v>
      </c>
      <c r="F3098" s="50">
        <v>6</v>
      </c>
      <c r="G3098" s="50">
        <v>512</v>
      </c>
      <c r="H3098" s="6">
        <v>3072</v>
      </c>
      <c r="I3098" s="6">
        <v>1625</v>
      </c>
      <c r="J3098" s="6">
        <v>2617</v>
      </c>
      <c r="K3098" s="6">
        <v>1741</v>
      </c>
      <c r="L3098" s="6">
        <v>2617</v>
      </c>
      <c r="M3098" s="6">
        <v>3848</v>
      </c>
      <c r="N3098" s="6">
        <v>2617</v>
      </c>
      <c r="O3098" s="6">
        <v>5120</v>
      </c>
      <c r="P3098" s="48">
        <v>2617</v>
      </c>
      <c r="Q3098" s="48">
        <v>5120</v>
      </c>
      <c r="R3098" s="48">
        <v>3072</v>
      </c>
      <c r="S3098" s="48"/>
      <c r="T3098" s="48"/>
      <c r="U3098" s="48"/>
      <c r="V3098" s="48"/>
      <c r="W3098" s="48"/>
      <c r="X3098" s="48"/>
      <c r="Y3098" s="48"/>
      <c r="Z3098" s="48"/>
      <c r="AA3098" s="48"/>
      <c r="AB3098" s="48"/>
      <c r="AC3098" s="48"/>
      <c r="AD3098" s="48"/>
      <c r="AE3098" s="48"/>
      <c r="AF3098" s="48"/>
      <c r="AG3098" s="48"/>
      <c r="AH3098" s="48"/>
      <c r="AI3098" s="48"/>
      <c r="AJ3098" s="48"/>
      <c r="AK3098" s="48"/>
      <c r="AL3098" s="48"/>
      <c r="AM3098" s="48"/>
      <c r="AN3098" s="48"/>
      <c r="AO3098" s="48"/>
      <c r="AP3098" s="48"/>
      <c r="AQ3098" s="48"/>
      <c r="AR3098" s="48"/>
      <c r="AS3098" s="48"/>
      <c r="AT3098" s="48"/>
      <c r="AU3098" s="48"/>
      <c r="AV3098" s="48"/>
      <c r="AW3098" s="48"/>
      <c r="AX3098" s="48"/>
      <c r="AY3098" s="48"/>
      <c r="AZ3098" s="48"/>
      <c r="BA3098" s="48"/>
      <c r="BB3098" s="48"/>
      <c r="BC3098" s="48"/>
      <c r="BD3098" s="48"/>
      <c r="BE3098" s="48"/>
      <c r="BF3098" s="48"/>
      <c r="BG3098" s="48"/>
      <c r="BH3098" s="48"/>
      <c r="BI3098" s="48"/>
      <c r="BJ3098" s="48"/>
      <c r="BK3098" s="48"/>
      <c r="BL3098" s="48"/>
      <c r="BM3098" s="48"/>
      <c r="BN3098" s="48"/>
      <c r="BO3098" s="48"/>
      <c r="BP3098" s="48"/>
      <c r="BQ3098" s="48"/>
      <c r="BR3098" s="48"/>
      <c r="BS3098" s="48"/>
      <c r="BT3098" s="48"/>
      <c r="BU3098" s="49"/>
      <c r="BV3098" s="49"/>
    </row>
    <row r="3099" spans="1:74">
      <c r="A3099" s="2"/>
      <c r="B3099" s="2"/>
      <c r="C3099" s="2"/>
      <c r="D3099" s="49">
        <f>F3099*2+4</f>
        <v>16</v>
      </c>
      <c r="E3099" s="48" t="s">
        <v>4</v>
      </c>
      <c r="F3099" s="50">
        <v>6</v>
      </c>
      <c r="G3099" s="50">
        <v>512</v>
      </c>
      <c r="H3099" s="6">
        <v>6144</v>
      </c>
      <c r="I3099" s="6">
        <v>1625</v>
      </c>
      <c r="J3099" s="6">
        <v>5689</v>
      </c>
      <c r="K3099" s="6">
        <v>1741</v>
      </c>
      <c r="L3099" s="6">
        <v>5689</v>
      </c>
      <c r="M3099" s="6">
        <v>3848</v>
      </c>
      <c r="N3099" s="6">
        <v>5689</v>
      </c>
      <c r="O3099" s="6">
        <v>5120</v>
      </c>
      <c r="P3099" s="48">
        <v>5689</v>
      </c>
      <c r="Q3099" s="48">
        <v>5120</v>
      </c>
      <c r="R3099" s="48">
        <v>6144</v>
      </c>
      <c r="S3099" s="48"/>
      <c r="T3099" s="48"/>
      <c r="U3099" s="48"/>
      <c r="V3099" s="48"/>
      <c r="W3099" s="48"/>
      <c r="X3099" s="48"/>
      <c r="Y3099" s="48"/>
      <c r="Z3099" s="48"/>
      <c r="AA3099" s="48"/>
      <c r="AB3099" s="48"/>
      <c r="AC3099" s="48"/>
      <c r="AD3099" s="48"/>
      <c r="AE3099" s="48"/>
      <c r="AF3099" s="48"/>
      <c r="AG3099" s="48"/>
      <c r="AH3099" s="48"/>
      <c r="AI3099" s="48"/>
      <c r="AJ3099" s="48"/>
      <c r="AK3099" s="48"/>
      <c r="AL3099" s="48"/>
      <c r="AM3099" s="48"/>
      <c r="AN3099" s="48"/>
      <c r="AO3099" s="48"/>
      <c r="AP3099" s="48"/>
      <c r="AQ3099" s="48"/>
      <c r="AR3099" s="48"/>
      <c r="AS3099" s="48"/>
      <c r="AT3099" s="48"/>
      <c r="AU3099" s="48"/>
      <c r="AV3099" s="48"/>
      <c r="AW3099" s="48"/>
      <c r="AX3099" s="48"/>
      <c r="AY3099" s="48"/>
      <c r="AZ3099" s="48"/>
      <c r="BA3099" s="48"/>
      <c r="BB3099" s="48"/>
      <c r="BC3099" s="48"/>
      <c r="BD3099" s="48"/>
      <c r="BE3099" s="48"/>
      <c r="BF3099" s="48"/>
      <c r="BG3099" s="48"/>
      <c r="BH3099" s="48"/>
      <c r="BI3099" s="48"/>
      <c r="BJ3099" s="48"/>
      <c r="BK3099" s="48"/>
      <c r="BL3099" s="48"/>
      <c r="BM3099" s="48"/>
      <c r="BN3099" s="48"/>
      <c r="BO3099" s="48"/>
      <c r="BP3099" s="48"/>
      <c r="BQ3099" s="48"/>
      <c r="BR3099" s="48"/>
      <c r="BS3099" s="48"/>
      <c r="BT3099" s="48"/>
      <c r="BU3099" s="49"/>
      <c r="BV3099" s="49"/>
    </row>
    <row r="3100" spans="1:74">
      <c r="D3100" s="49">
        <f>F3100*2+4</f>
        <v>58</v>
      </c>
      <c r="E3100" s="48" t="s">
        <v>4</v>
      </c>
      <c r="F3100" s="50">
        <v>27</v>
      </c>
      <c r="G3100" s="50">
        <v>6656</v>
      </c>
      <c r="H3100" s="6">
        <v>6144</v>
      </c>
      <c r="I3100" s="6">
        <v>6792</v>
      </c>
      <c r="J3100" s="6">
        <v>6095</v>
      </c>
      <c r="K3100" s="6">
        <v>6806</v>
      </c>
      <c r="L3100" s="6">
        <v>6090</v>
      </c>
      <c r="M3100" s="6">
        <v>6823</v>
      </c>
      <c r="N3100" s="6">
        <v>6084</v>
      </c>
      <c r="O3100" s="6">
        <v>6840</v>
      </c>
      <c r="P3100" s="48">
        <v>6078</v>
      </c>
      <c r="Q3100" s="48">
        <v>6860</v>
      </c>
      <c r="R3100" s="48">
        <v>6071</v>
      </c>
      <c r="S3100" s="48">
        <v>6882</v>
      </c>
      <c r="T3100" s="48">
        <v>6064</v>
      </c>
      <c r="U3100" s="48">
        <v>6907</v>
      </c>
      <c r="V3100" s="48">
        <v>6056</v>
      </c>
      <c r="W3100" s="48">
        <v>6934</v>
      </c>
      <c r="X3100" s="48">
        <v>6047</v>
      </c>
      <c r="Y3100" s="48">
        <v>6964</v>
      </c>
      <c r="Z3100" s="48">
        <v>6037</v>
      </c>
      <c r="AA3100" s="48">
        <v>6998</v>
      </c>
      <c r="AB3100" s="48">
        <v>6026</v>
      </c>
      <c r="AC3100" s="48">
        <v>7036</v>
      </c>
      <c r="AD3100" s="48">
        <v>6014</v>
      </c>
      <c r="AE3100" s="48">
        <v>7077</v>
      </c>
      <c r="AF3100" s="48">
        <v>6001</v>
      </c>
      <c r="AG3100" s="48">
        <v>7124</v>
      </c>
      <c r="AH3100" s="48">
        <v>5987</v>
      </c>
      <c r="AI3100" s="48">
        <v>7176</v>
      </c>
      <c r="AJ3100" s="48">
        <v>5971</v>
      </c>
      <c r="AK3100" s="48">
        <v>7233</v>
      </c>
      <c r="AL3100" s="48">
        <v>5953</v>
      </c>
      <c r="AM3100" s="48">
        <v>7298</v>
      </c>
      <c r="AN3100" s="48">
        <v>5934</v>
      </c>
      <c r="AO3100" s="48">
        <v>7369</v>
      </c>
      <c r="AP3100" s="48">
        <v>5912</v>
      </c>
      <c r="AQ3100" s="48">
        <v>7449</v>
      </c>
      <c r="AR3100" s="48">
        <v>5889</v>
      </c>
      <c r="AS3100" s="48">
        <v>7539</v>
      </c>
      <c r="AT3100" s="48">
        <v>5863</v>
      </c>
      <c r="AU3100" s="48">
        <v>7638</v>
      </c>
      <c r="AV3100" s="48">
        <v>5835</v>
      </c>
      <c r="AW3100" s="48">
        <v>7750</v>
      </c>
      <c r="AX3100" s="48">
        <v>5803</v>
      </c>
      <c r="AY3100" s="48">
        <v>7874</v>
      </c>
      <c r="AZ3100" s="48">
        <v>5769</v>
      </c>
      <c r="BA3100" s="48">
        <v>8014</v>
      </c>
      <c r="BB3100" s="48">
        <v>5731</v>
      </c>
      <c r="BC3100" s="48">
        <v>8170</v>
      </c>
      <c r="BD3100" s="48">
        <v>5689</v>
      </c>
      <c r="BE3100" s="48">
        <v>11264</v>
      </c>
      <c r="BF3100" s="48">
        <v>5689</v>
      </c>
      <c r="BG3100" s="48">
        <v>11264</v>
      </c>
      <c r="BH3100" s="48">
        <v>6144</v>
      </c>
      <c r="BI3100" s="48"/>
      <c r="BJ3100" s="48"/>
      <c r="BK3100" s="48"/>
      <c r="BL3100" s="48"/>
      <c r="BM3100" s="48"/>
      <c r="BN3100" s="48"/>
      <c r="BO3100" s="48"/>
      <c r="BP3100" s="48"/>
      <c r="BQ3100" s="48"/>
      <c r="BR3100" s="48"/>
      <c r="BS3100" s="48"/>
      <c r="BT3100" s="48"/>
      <c r="BU3100" s="49"/>
      <c r="BV3100" s="49"/>
    </row>
    <row r="3101" spans="1:74">
      <c r="D3101" s="49">
        <f>F3101*2+4</f>
        <v>58</v>
      </c>
      <c r="E3101" s="48" t="s">
        <v>4</v>
      </c>
      <c r="F3101" s="50">
        <v>27</v>
      </c>
      <c r="G3101" s="50">
        <v>512</v>
      </c>
      <c r="H3101" s="6">
        <v>9216</v>
      </c>
      <c r="I3101" s="6">
        <v>783</v>
      </c>
      <c r="J3101" s="6">
        <v>9065</v>
      </c>
      <c r="K3101" s="6">
        <v>817</v>
      </c>
      <c r="L3101" s="6">
        <v>9053</v>
      </c>
      <c r="M3101" s="6">
        <v>854</v>
      </c>
      <c r="N3101" s="6">
        <v>9039</v>
      </c>
      <c r="O3101" s="6">
        <v>894</v>
      </c>
      <c r="P3101" s="48">
        <v>9026</v>
      </c>
      <c r="Q3101" s="48">
        <v>939</v>
      </c>
      <c r="R3101" s="48">
        <v>9012</v>
      </c>
      <c r="S3101" s="48">
        <v>986</v>
      </c>
      <c r="T3101" s="48">
        <v>8998</v>
      </c>
      <c r="U3101" s="48">
        <v>1038</v>
      </c>
      <c r="V3101" s="48">
        <v>8983</v>
      </c>
      <c r="W3101" s="48">
        <v>1095</v>
      </c>
      <c r="X3101" s="48">
        <v>8969</v>
      </c>
      <c r="Y3101" s="48">
        <v>1156</v>
      </c>
      <c r="Z3101" s="48">
        <v>8954</v>
      </c>
      <c r="AA3101" s="48">
        <v>1222</v>
      </c>
      <c r="AB3101" s="48">
        <v>8940</v>
      </c>
      <c r="AC3101" s="48">
        <v>1293</v>
      </c>
      <c r="AD3101" s="48">
        <v>8925</v>
      </c>
      <c r="AE3101" s="48">
        <v>1370</v>
      </c>
      <c r="AF3101" s="48">
        <v>8911</v>
      </c>
      <c r="AG3101" s="48">
        <v>1453</v>
      </c>
      <c r="AH3101" s="48">
        <v>8896</v>
      </c>
      <c r="AI3101" s="48">
        <v>1543</v>
      </c>
      <c r="AJ3101" s="48">
        <v>8882</v>
      </c>
      <c r="AK3101" s="48">
        <v>1639</v>
      </c>
      <c r="AL3101" s="48">
        <v>8869</v>
      </c>
      <c r="AM3101" s="48">
        <v>1742</v>
      </c>
      <c r="AN3101" s="48">
        <v>8855</v>
      </c>
      <c r="AO3101" s="48">
        <v>1853</v>
      </c>
      <c r="AP3101" s="48">
        <v>8842</v>
      </c>
      <c r="AQ3101" s="48">
        <v>1972</v>
      </c>
      <c r="AR3101" s="48">
        <v>8829</v>
      </c>
      <c r="AS3101" s="48">
        <v>2099</v>
      </c>
      <c r="AT3101" s="48">
        <v>8817</v>
      </c>
      <c r="AU3101" s="48">
        <v>2234</v>
      </c>
      <c r="AV3101" s="48">
        <v>8805</v>
      </c>
      <c r="AW3101" s="48">
        <v>2378</v>
      </c>
      <c r="AX3101" s="48">
        <v>8793</v>
      </c>
      <c r="AY3101" s="48">
        <v>2531</v>
      </c>
      <c r="AZ3101" s="48">
        <v>8782</v>
      </c>
      <c r="BA3101" s="48">
        <v>2693</v>
      </c>
      <c r="BB3101" s="48">
        <v>8771</v>
      </c>
      <c r="BC3101" s="48">
        <v>2864</v>
      </c>
      <c r="BD3101" s="48">
        <v>8761</v>
      </c>
      <c r="BE3101" s="48">
        <v>5120</v>
      </c>
      <c r="BF3101" s="48">
        <v>8761</v>
      </c>
      <c r="BG3101" s="48">
        <v>5120</v>
      </c>
      <c r="BH3101" s="48">
        <v>9216</v>
      </c>
      <c r="BI3101" s="48"/>
      <c r="BJ3101" s="48"/>
      <c r="BK3101" s="48"/>
      <c r="BL3101" s="48"/>
      <c r="BM3101" s="48"/>
      <c r="BN3101" s="48"/>
      <c r="BO3101" s="48"/>
      <c r="BP3101" s="48"/>
      <c r="BQ3101" s="48"/>
      <c r="BR3101" s="48"/>
      <c r="BS3101" s="48"/>
      <c r="BT3101" s="48"/>
      <c r="BU3101" s="49"/>
      <c r="BV3101" s="49"/>
    </row>
    <row r="3102" spans="1:74">
      <c r="D3102" s="49">
        <v>7</v>
      </c>
      <c r="E3102" s="49" t="s">
        <v>5</v>
      </c>
      <c r="F3102" s="50">
        <v>200</v>
      </c>
      <c r="G3102" s="50">
        <v>3400</v>
      </c>
      <c r="H3102" s="50">
        <f>F3102+200</f>
        <v>400</v>
      </c>
      <c r="I3102" s="50">
        <f>G3102+600</f>
        <v>4000</v>
      </c>
      <c r="J3102" s="50"/>
      <c r="K3102" s="50"/>
      <c r="L3102" s="36"/>
      <c r="M3102" s="50"/>
      <c r="N3102" s="50"/>
      <c r="O3102" s="50"/>
      <c r="P3102" s="49"/>
      <c r="Q3102" s="49"/>
      <c r="R3102" s="49"/>
      <c r="S3102" s="49"/>
      <c r="T3102" s="49"/>
      <c r="U3102" s="49"/>
      <c r="V3102" s="49"/>
      <c r="W3102" s="49"/>
      <c r="X3102" s="49"/>
      <c r="Y3102" s="49"/>
      <c r="Z3102" s="49"/>
      <c r="AA3102" s="49"/>
      <c r="AB3102" s="49"/>
      <c r="AC3102" s="49"/>
      <c r="AD3102" s="49"/>
      <c r="AE3102" s="49"/>
      <c r="AF3102" s="49"/>
      <c r="AG3102" s="49"/>
      <c r="AH3102" s="49"/>
      <c r="AI3102" s="49"/>
      <c r="AJ3102" s="49"/>
      <c r="AK3102" s="49"/>
      <c r="AL3102" s="49"/>
      <c r="AM3102" s="49"/>
      <c r="AN3102" s="49"/>
      <c r="AO3102" s="49"/>
      <c r="AP3102" s="49"/>
      <c r="AQ3102" s="49"/>
      <c r="AR3102" s="49"/>
      <c r="AS3102" s="49"/>
      <c r="AT3102" s="49"/>
      <c r="AU3102" s="49"/>
      <c r="AV3102" s="48"/>
      <c r="AW3102" s="48"/>
      <c r="AX3102" s="48"/>
      <c r="AY3102" s="48"/>
      <c r="AZ3102" s="48"/>
      <c r="BA3102" s="48"/>
      <c r="BB3102" s="48"/>
      <c r="BC3102" s="48"/>
      <c r="BD3102" s="48"/>
      <c r="BE3102" s="48"/>
      <c r="BF3102" s="48"/>
      <c r="BG3102" s="48"/>
      <c r="BH3102" s="48"/>
      <c r="BI3102" s="48"/>
      <c r="BJ3102" s="48"/>
      <c r="BK3102" s="48"/>
      <c r="BL3102" s="48"/>
      <c r="BM3102" s="48"/>
      <c r="BN3102" s="48"/>
      <c r="BO3102" s="48"/>
      <c r="BP3102" s="48"/>
      <c r="BQ3102" s="48"/>
      <c r="BR3102" s="48"/>
      <c r="BS3102" s="48"/>
      <c r="BT3102" s="48"/>
      <c r="BU3102" s="49"/>
      <c r="BV3102" s="49"/>
    </row>
    <row r="3103" spans="1:74">
      <c r="D3103" s="49">
        <f>ROUNDUP(6+F3103/2,0)</f>
        <v>14</v>
      </c>
      <c r="E3103" s="49" t="s">
        <v>6</v>
      </c>
      <c r="F3103" s="50">
        <f>LEN(G3103)</f>
        <v>15</v>
      </c>
      <c r="G3103" s="50" t="s">
        <v>362</v>
      </c>
      <c r="H3103" s="50">
        <f>H3102-272</f>
        <v>128</v>
      </c>
      <c r="I3103" s="50">
        <f>I3102+100</f>
        <v>4100</v>
      </c>
      <c r="K3103" s="50"/>
      <c r="L3103" s="50"/>
      <c r="P3103" s="48"/>
      <c r="Q3103" s="49"/>
      <c r="R3103" s="49"/>
      <c r="S3103" s="49"/>
      <c r="T3103" s="49"/>
      <c r="U3103" s="49"/>
      <c r="V3103" s="49"/>
      <c r="W3103" s="49"/>
      <c r="X3103" s="49"/>
      <c r="Y3103" s="49"/>
      <c r="Z3103" s="49"/>
      <c r="AA3103" s="49"/>
      <c r="AB3103" s="49"/>
      <c r="AC3103" s="49"/>
      <c r="AD3103" s="49"/>
      <c r="AE3103" s="49"/>
      <c r="AF3103" s="49"/>
      <c r="AG3103" s="49"/>
      <c r="AH3103" s="49"/>
      <c r="AI3103" s="49"/>
      <c r="AJ3103" s="49"/>
      <c r="AK3103" s="49"/>
      <c r="AL3103" s="49"/>
      <c r="AM3103" s="49"/>
      <c r="AN3103" s="49"/>
      <c r="AO3103" s="49"/>
      <c r="AP3103" s="49"/>
      <c r="AQ3103" s="49"/>
      <c r="AR3103" s="49"/>
      <c r="AS3103" s="49"/>
      <c r="AT3103" s="49"/>
      <c r="AU3103" s="49"/>
      <c r="AV3103" s="49"/>
      <c r="AW3103" s="49"/>
      <c r="AX3103" s="49"/>
      <c r="AY3103" s="49"/>
      <c r="AZ3103" s="49"/>
      <c r="BA3103" s="49"/>
      <c r="BB3103" s="49"/>
      <c r="BC3103" s="49"/>
      <c r="BD3103" s="49"/>
      <c r="BE3103" s="49"/>
      <c r="BF3103" s="49"/>
      <c r="BG3103" s="49"/>
      <c r="BH3103" s="49"/>
      <c r="BI3103" s="49"/>
      <c r="BJ3103" s="49"/>
      <c r="BK3103" s="49"/>
      <c r="BL3103" s="49"/>
      <c r="BM3103" s="49"/>
      <c r="BN3103" s="49"/>
      <c r="BO3103" s="49"/>
      <c r="BP3103" s="49"/>
      <c r="BQ3103" s="49"/>
      <c r="BR3103" s="49"/>
      <c r="BS3103" s="49"/>
      <c r="BT3103" s="49"/>
      <c r="BU3103" s="49"/>
      <c r="BV3103" s="49"/>
    </row>
    <row r="3104" spans="1:74">
      <c r="D3104" s="48">
        <v>4</v>
      </c>
      <c r="E3104" s="48" t="s">
        <v>15</v>
      </c>
      <c r="F3104" s="6">
        <v>2</v>
      </c>
      <c r="G3104" s="50"/>
      <c r="H3104" s="50"/>
      <c r="I3104" s="50"/>
      <c r="J3104" s="50"/>
      <c r="K3104" s="50"/>
      <c r="L3104" s="36"/>
      <c r="M3104" s="50"/>
      <c r="N3104" s="50"/>
      <c r="O3104" s="50"/>
      <c r="P3104" s="49"/>
      <c r="Q3104" s="49"/>
      <c r="R3104" s="49"/>
      <c r="S3104" s="49"/>
      <c r="T3104" s="49"/>
      <c r="U3104" s="49"/>
      <c r="V3104" s="49"/>
      <c r="W3104" s="49"/>
      <c r="X3104" s="48"/>
      <c r="Y3104" s="48"/>
      <c r="Z3104" s="48"/>
      <c r="AA3104" s="48"/>
      <c r="AB3104" s="49"/>
      <c r="AC3104" s="49"/>
      <c r="AD3104" s="49"/>
      <c r="AE3104" s="49"/>
      <c r="AF3104" s="49"/>
      <c r="AG3104" s="49"/>
      <c r="AH3104" s="49"/>
      <c r="AI3104" s="49"/>
      <c r="AJ3104" s="49"/>
      <c r="AK3104" s="49"/>
      <c r="AL3104" s="49"/>
      <c r="AM3104" s="49"/>
      <c r="AN3104" s="49"/>
      <c r="AO3104" s="49"/>
      <c r="AP3104" s="49"/>
      <c r="AQ3104" s="49"/>
      <c r="AR3104" s="49"/>
      <c r="AS3104" s="49"/>
      <c r="AT3104" s="49"/>
      <c r="AU3104" s="49"/>
      <c r="AV3104" s="49"/>
      <c r="AW3104" s="49"/>
      <c r="AX3104" s="49"/>
      <c r="AY3104" s="49"/>
      <c r="AZ3104" s="49"/>
      <c r="BA3104" s="49"/>
      <c r="BB3104" s="49"/>
      <c r="BC3104" s="49"/>
      <c r="BD3104" s="49"/>
      <c r="BE3104" s="49"/>
      <c r="BF3104" s="49"/>
      <c r="BG3104" s="49"/>
      <c r="BH3104" s="49"/>
      <c r="BI3104" s="49"/>
      <c r="BJ3104" s="49"/>
      <c r="BK3104" s="49"/>
      <c r="BL3104" s="49"/>
      <c r="BM3104" s="49"/>
      <c r="BN3104" s="49"/>
      <c r="BO3104" s="49"/>
      <c r="BP3104" s="49"/>
      <c r="BQ3104" s="49"/>
      <c r="BR3104" s="49"/>
      <c r="BS3104" s="49"/>
      <c r="BT3104" s="49"/>
      <c r="BU3104" s="49"/>
      <c r="BV3104" s="49"/>
    </row>
    <row r="3105" spans="1:74">
      <c r="D3105" s="49">
        <v>7</v>
      </c>
      <c r="E3105" s="49" t="s">
        <v>5</v>
      </c>
      <c r="F3105" s="50">
        <v>200</v>
      </c>
      <c r="G3105" s="50">
        <v>400</v>
      </c>
      <c r="H3105" s="50">
        <f>F3105+200</f>
        <v>400</v>
      </c>
      <c r="I3105" s="50">
        <f>G3105+600</f>
        <v>1000</v>
      </c>
      <c r="K3105" s="50"/>
      <c r="L3105" s="50"/>
      <c r="P3105" s="48"/>
      <c r="Q3105" s="49"/>
      <c r="R3105" s="49"/>
      <c r="S3105" s="49"/>
      <c r="T3105" s="49"/>
      <c r="U3105" s="49"/>
      <c r="V3105" s="49"/>
      <c r="W3105" s="49"/>
      <c r="X3105" s="49"/>
      <c r="Y3105" s="49"/>
      <c r="Z3105" s="49"/>
      <c r="AA3105" s="49"/>
      <c r="AB3105" s="49"/>
      <c r="AC3105" s="49"/>
      <c r="AD3105" s="49"/>
      <c r="AE3105" s="49"/>
      <c r="AF3105" s="49"/>
      <c r="AG3105" s="49"/>
      <c r="AH3105" s="49"/>
      <c r="AI3105" s="49"/>
      <c r="AJ3105" s="49"/>
      <c r="AK3105" s="49"/>
      <c r="AL3105" s="49"/>
      <c r="AM3105" s="49"/>
      <c r="AN3105" s="49"/>
      <c r="AO3105" s="49"/>
      <c r="AP3105" s="49"/>
      <c r="AQ3105" s="49"/>
      <c r="AR3105" s="49"/>
      <c r="AS3105" s="49"/>
      <c r="AT3105" s="49"/>
      <c r="AU3105" s="49"/>
      <c r="AV3105" s="49"/>
      <c r="AW3105" s="49"/>
      <c r="AX3105" s="49"/>
      <c r="AY3105" s="49"/>
      <c r="AZ3105" s="48"/>
      <c r="BA3105" s="48"/>
      <c r="BB3105" s="49"/>
      <c r="BC3105" s="49"/>
      <c r="BD3105" s="49"/>
      <c r="BE3105" s="49"/>
      <c r="BF3105" s="49"/>
      <c r="BG3105" s="49"/>
      <c r="BH3105" s="49"/>
      <c r="BI3105" s="49"/>
      <c r="BJ3105" s="49"/>
      <c r="BK3105" s="49"/>
      <c r="BL3105" s="49"/>
      <c r="BM3105" s="49"/>
      <c r="BN3105" s="49"/>
      <c r="BO3105" s="49"/>
      <c r="BP3105" s="49"/>
      <c r="BQ3105" s="49"/>
      <c r="BR3105" s="49"/>
      <c r="BS3105" s="49"/>
      <c r="BT3105" s="49"/>
      <c r="BU3105" s="49"/>
      <c r="BV3105" s="49"/>
    </row>
    <row r="3106" spans="1:74">
      <c r="D3106" s="49">
        <f>ROUNDUP(6+F3106/2,0)</f>
        <v>14</v>
      </c>
      <c r="E3106" s="49" t="s">
        <v>6</v>
      </c>
      <c r="F3106" s="50">
        <f>LEN(G3106)</f>
        <v>15</v>
      </c>
      <c r="G3106" s="50" t="s">
        <v>363</v>
      </c>
      <c r="H3106" s="50">
        <f>H3105-272</f>
        <v>128</v>
      </c>
      <c r="I3106" s="50">
        <f>I3105+100</f>
        <v>1100</v>
      </c>
      <c r="J3106" s="50"/>
      <c r="K3106" s="50"/>
      <c r="L3106" s="36"/>
      <c r="M3106" s="50"/>
      <c r="N3106" s="50"/>
      <c r="O3106" s="50"/>
      <c r="P3106" s="49"/>
      <c r="Q3106" s="49"/>
      <c r="R3106" s="49"/>
      <c r="S3106" s="49"/>
      <c r="T3106" s="49"/>
      <c r="U3106" s="49"/>
      <c r="V3106" s="48"/>
      <c r="W3106" s="48"/>
      <c r="X3106" s="48"/>
      <c r="Y3106" s="48"/>
      <c r="Z3106" s="48"/>
      <c r="AA3106" s="48"/>
      <c r="AB3106" s="49"/>
      <c r="AC3106" s="49"/>
      <c r="AD3106" s="49"/>
      <c r="AE3106" s="49"/>
      <c r="AF3106" s="49"/>
      <c r="AG3106" s="49"/>
      <c r="AH3106" s="49"/>
      <c r="AI3106" s="49"/>
      <c r="AJ3106" s="49"/>
      <c r="AK3106" s="49"/>
      <c r="AL3106" s="49"/>
      <c r="AM3106" s="49"/>
      <c r="AN3106" s="49"/>
      <c r="AO3106" s="49"/>
      <c r="AP3106" s="49"/>
      <c r="AQ3106" s="49"/>
      <c r="AR3106" s="49"/>
      <c r="AS3106" s="49"/>
      <c r="AT3106" s="49"/>
      <c r="AU3106" s="49"/>
      <c r="AV3106" s="49"/>
      <c r="AW3106" s="49"/>
      <c r="AX3106" s="49"/>
      <c r="AY3106" s="49"/>
      <c r="AZ3106" s="49"/>
      <c r="BA3106" s="49"/>
      <c r="BB3106" s="49"/>
      <c r="BC3106" s="49"/>
      <c r="BD3106" s="49"/>
      <c r="BE3106" s="49"/>
      <c r="BF3106" s="49"/>
      <c r="BG3106" s="49"/>
      <c r="BH3106" s="49"/>
      <c r="BI3106" s="49"/>
      <c r="BJ3106" s="49"/>
      <c r="BK3106" s="49"/>
      <c r="BL3106" s="49"/>
      <c r="BM3106" s="49"/>
      <c r="BN3106" s="49"/>
      <c r="BO3106" s="49"/>
      <c r="BP3106" s="49"/>
      <c r="BQ3106" s="49"/>
      <c r="BR3106" s="49"/>
      <c r="BS3106" s="49"/>
      <c r="BT3106" s="49"/>
      <c r="BU3106" s="49"/>
      <c r="BV3106" s="49"/>
    </row>
    <row r="3110" spans="1:74">
      <c r="A3110" s="48" t="s">
        <v>383</v>
      </c>
      <c r="B3110" s="1" t="s">
        <v>781</v>
      </c>
      <c r="D3110" s="48" t="s">
        <v>449</v>
      </c>
      <c r="E3110" s="48">
        <v>52695</v>
      </c>
      <c r="F3110" s="6">
        <v>39622</v>
      </c>
      <c r="G3110" s="6">
        <v>0</v>
      </c>
      <c r="H3110" s="6">
        <v>0</v>
      </c>
      <c r="I3110" s="6">
        <v>0</v>
      </c>
      <c r="J3110" s="6">
        <v>12000</v>
      </c>
      <c r="K3110" s="6">
        <v>8400</v>
      </c>
      <c r="L3110" s="6">
        <v>1920</v>
      </c>
      <c r="M3110" s="6">
        <v>0</v>
      </c>
      <c r="N3110" s="6">
        <v>0</v>
      </c>
      <c r="O3110" s="6" t="e">
        <f ca="1">checksummeint(G3110,H3110,I3110,J3110,K3110,L3110,M3110,N3110)</f>
        <v>#NAME?</v>
      </c>
      <c r="P3110" s="48"/>
      <c r="Q3110" s="48"/>
      <c r="R3110" s="48"/>
      <c r="S3110" s="48"/>
      <c r="T3110" s="49"/>
      <c r="U3110" s="49"/>
      <c r="V3110" s="48"/>
      <c r="W3110" s="48"/>
      <c r="X3110" s="48"/>
      <c r="Y3110" s="48"/>
      <c r="Z3110" s="48"/>
      <c r="AA3110" s="48"/>
      <c r="AB3110" s="48"/>
      <c r="AC3110" s="48"/>
      <c r="AD3110" s="48"/>
      <c r="AE3110" s="48"/>
      <c r="AF3110" s="48"/>
      <c r="AG3110" s="48"/>
      <c r="AH3110" s="48"/>
      <c r="AI3110" s="48"/>
      <c r="AJ3110" s="48"/>
      <c r="AK3110" s="48"/>
      <c r="AL3110" s="48"/>
      <c r="AM3110" s="48"/>
      <c r="AN3110" s="48"/>
      <c r="AO3110" s="48"/>
      <c r="AP3110" s="48"/>
      <c r="AQ3110" s="48"/>
      <c r="AR3110" s="48"/>
      <c r="AS3110" s="48"/>
      <c r="AT3110" s="48"/>
      <c r="AU3110" s="48"/>
    </row>
    <row r="3111" spans="1:74">
      <c r="A3111" s="1"/>
      <c r="D3111" s="48">
        <v>28</v>
      </c>
      <c r="E3111" s="48" t="s">
        <v>12</v>
      </c>
      <c r="F3111" s="6">
        <v>360</v>
      </c>
      <c r="G3111" s="6">
        <v>0</v>
      </c>
      <c r="H3111" s="6">
        <v>0</v>
      </c>
      <c r="I3111" s="6">
        <v>0</v>
      </c>
      <c r="J3111" s="6">
        <v>400</v>
      </c>
      <c r="K3111" s="6">
        <v>0</v>
      </c>
      <c r="L3111" s="6">
        <v>0</v>
      </c>
      <c r="M3111" s="6">
        <v>0</v>
      </c>
      <c r="N3111" s="6">
        <v>0</v>
      </c>
      <c r="O3111" s="6" t="s">
        <v>19</v>
      </c>
      <c r="P3111" s="48"/>
      <c r="Q3111" s="48"/>
      <c r="R3111" s="48"/>
      <c r="S3111" s="48"/>
      <c r="T3111" s="49"/>
      <c r="U3111" s="49"/>
      <c r="V3111" s="48"/>
      <c r="W3111" s="48"/>
      <c r="X3111" s="48"/>
      <c r="Y3111" s="48"/>
      <c r="Z3111" s="48"/>
      <c r="AA3111" s="48"/>
      <c r="AB3111" s="48"/>
      <c r="AC3111" s="48"/>
      <c r="AD3111" s="48"/>
      <c r="AE3111" s="48"/>
      <c r="AF3111" s="48"/>
      <c r="AG3111" s="48"/>
      <c r="AH3111" s="48"/>
      <c r="AI3111" s="48"/>
      <c r="AJ3111" s="48"/>
      <c r="AK3111" s="48"/>
      <c r="AL3111" s="48"/>
      <c r="AM3111" s="48"/>
      <c r="AN3111" s="48"/>
      <c r="AO3111" s="48"/>
      <c r="AP3111" s="48"/>
      <c r="AQ3111" s="48"/>
      <c r="AR3111" s="48"/>
      <c r="AS3111" s="48"/>
      <c r="AT3111" s="48"/>
      <c r="AU3111" s="48"/>
    </row>
    <row r="3112" spans="1:74">
      <c r="D3112" s="48">
        <v>5</v>
      </c>
      <c r="E3112" s="48" t="s">
        <v>59</v>
      </c>
      <c r="F3112" s="6">
        <v>1</v>
      </c>
      <c r="G3112" s="6">
        <v>0</v>
      </c>
      <c r="P3112" s="48"/>
      <c r="Q3112" s="48"/>
      <c r="R3112" s="48"/>
      <c r="S3112" s="48"/>
      <c r="T3112" s="49"/>
      <c r="U3112" s="49"/>
      <c r="V3112" s="48"/>
      <c r="W3112" s="48"/>
      <c r="X3112" s="48"/>
      <c r="Y3112" s="48"/>
      <c r="Z3112" s="48"/>
      <c r="AA3112" s="48"/>
      <c r="AB3112" s="48"/>
      <c r="AC3112" s="48"/>
      <c r="AD3112" s="48"/>
      <c r="AE3112" s="48"/>
      <c r="AF3112" s="48"/>
      <c r="AG3112" s="48"/>
      <c r="AH3112" s="48"/>
      <c r="AI3112" s="48"/>
      <c r="AJ3112" s="48"/>
      <c r="AK3112" s="48"/>
      <c r="AL3112" s="48"/>
      <c r="AM3112" s="48"/>
      <c r="AN3112" s="48"/>
      <c r="AO3112" s="48"/>
      <c r="AP3112" s="48"/>
      <c r="AQ3112" s="48"/>
      <c r="AR3112" s="48"/>
      <c r="AS3112" s="48"/>
      <c r="AT3112" s="48"/>
      <c r="AU3112" s="48"/>
    </row>
    <row r="3113" spans="1:74">
      <c r="D3113" s="48">
        <v>8</v>
      </c>
      <c r="E3113" s="48" t="s">
        <v>14</v>
      </c>
      <c r="F3113" s="6">
        <v>0</v>
      </c>
      <c r="G3113" s="6">
        <v>16</v>
      </c>
      <c r="H3113" s="6">
        <v>0</v>
      </c>
      <c r="I3113" s="6">
        <v>0</v>
      </c>
      <c r="J3113" s="6">
        <v>0</v>
      </c>
      <c r="M3113" s="44"/>
      <c r="N3113" s="45"/>
      <c r="P3113" s="48" t="s">
        <v>371</v>
      </c>
      <c r="Q3113" s="48" t="s">
        <v>372</v>
      </c>
      <c r="R3113" s="48" t="s">
        <v>373</v>
      </c>
      <c r="S3113" s="48"/>
      <c r="T3113" s="49"/>
      <c r="U3113" s="49"/>
      <c r="V3113" s="48"/>
      <c r="W3113" s="48"/>
      <c r="X3113" s="48"/>
      <c r="Y3113" s="48"/>
      <c r="Z3113" s="48"/>
      <c r="AA3113" s="48"/>
      <c r="AB3113" s="48"/>
      <c r="AC3113" s="48"/>
      <c r="AD3113" s="48"/>
      <c r="AE3113" s="48"/>
      <c r="AF3113" s="48"/>
      <c r="AG3113" s="48"/>
      <c r="AH3113" s="48"/>
      <c r="AI3113" s="48"/>
      <c r="AJ3113" s="48"/>
      <c r="AK3113" s="48"/>
      <c r="AL3113" s="48"/>
      <c r="AM3113" s="48"/>
      <c r="AN3113" s="48"/>
      <c r="AO3113" s="48"/>
      <c r="AP3113" s="48"/>
      <c r="AQ3113" s="48"/>
      <c r="AR3113" s="48"/>
      <c r="AS3113" s="48"/>
      <c r="AT3113" s="48"/>
      <c r="AU3113" s="48"/>
    </row>
    <row r="3114" spans="1:74">
      <c r="D3114" s="48">
        <v>7</v>
      </c>
      <c r="E3114" s="48" t="s">
        <v>11</v>
      </c>
      <c r="F3114" s="6">
        <v>0</v>
      </c>
      <c r="G3114" s="50">
        <f>255*256+192</f>
        <v>65472</v>
      </c>
      <c r="H3114" s="50">
        <v>192</v>
      </c>
      <c r="I3114" s="6">
        <v>0</v>
      </c>
      <c r="O3114" s="6" t="s">
        <v>22</v>
      </c>
      <c r="P3114" s="48">
        <v>18</v>
      </c>
      <c r="Q3114" s="48">
        <v>2</v>
      </c>
      <c r="R3114" s="48">
        <v>0.3</v>
      </c>
      <c r="S3114" s="48"/>
      <c r="T3114" s="49"/>
      <c r="U3114" s="49"/>
      <c r="V3114" s="48"/>
      <c r="W3114" s="48"/>
      <c r="X3114" s="48"/>
      <c r="Y3114" s="48"/>
      <c r="Z3114" s="48"/>
      <c r="AA3114" s="48"/>
      <c r="AB3114" s="48"/>
      <c r="AC3114" s="48"/>
      <c r="AD3114" s="48"/>
      <c r="AE3114" s="48"/>
      <c r="AF3114" s="48"/>
      <c r="AG3114" s="48"/>
      <c r="AH3114" s="48"/>
      <c r="AI3114" s="48"/>
      <c r="AJ3114" s="48"/>
      <c r="AK3114" s="48"/>
      <c r="AL3114" s="48"/>
      <c r="AM3114" s="48"/>
      <c r="AN3114" s="48"/>
      <c r="AO3114" s="48"/>
      <c r="AP3114" s="48"/>
      <c r="AQ3114" s="48"/>
      <c r="AR3114" s="48"/>
      <c r="AS3114" s="48"/>
      <c r="AT3114" s="48"/>
      <c r="AU3114" s="48"/>
    </row>
    <row r="3115" spans="1:74">
      <c r="D3115" s="48">
        <v>7</v>
      </c>
      <c r="E3115" s="48" t="s">
        <v>11</v>
      </c>
      <c r="F3115" s="6">
        <v>0</v>
      </c>
      <c r="G3115" s="6">
        <v>0</v>
      </c>
      <c r="H3115" s="6">
        <v>0</v>
      </c>
      <c r="I3115" s="6">
        <v>0</v>
      </c>
      <c r="O3115" s="6" t="s">
        <v>21</v>
      </c>
      <c r="P3115" s="48">
        <v>0.2</v>
      </c>
      <c r="Q3115" s="48">
        <v>0.3</v>
      </c>
      <c r="R3115" s="48">
        <v>0.02</v>
      </c>
      <c r="S3115" s="48"/>
      <c r="T3115" s="49"/>
      <c r="U3115" s="49"/>
      <c r="V3115" s="48"/>
      <c r="W3115" s="48"/>
      <c r="X3115" s="48"/>
      <c r="Y3115" s="48"/>
      <c r="Z3115" s="48"/>
      <c r="AA3115" s="48"/>
      <c r="AB3115" s="48"/>
      <c r="AC3115" s="48"/>
      <c r="AD3115" s="48"/>
      <c r="AE3115" s="48"/>
      <c r="AF3115" s="48"/>
      <c r="AG3115" s="48"/>
      <c r="AH3115" s="48"/>
      <c r="AI3115" s="48"/>
      <c r="AJ3115" s="48"/>
      <c r="AK3115" s="48"/>
      <c r="AL3115" s="48"/>
      <c r="AM3115" s="48"/>
      <c r="AN3115" s="48"/>
      <c r="AO3115" s="48"/>
      <c r="AP3115" s="48"/>
      <c r="AQ3115" s="48"/>
      <c r="AR3115" s="48"/>
      <c r="AS3115" s="48"/>
      <c r="AT3115" s="48"/>
      <c r="AU3115" s="48"/>
    </row>
    <row r="3116" spans="1:74">
      <c r="D3116" s="48">
        <v>7</v>
      </c>
      <c r="E3116" s="48" t="s">
        <v>11</v>
      </c>
      <c r="F3116" s="6">
        <v>0</v>
      </c>
      <c r="G3116" s="6">
        <f>256*192+255</f>
        <v>49407</v>
      </c>
      <c r="H3116" s="6">
        <v>192</v>
      </c>
      <c r="I3116" s="6">
        <v>0</v>
      </c>
      <c r="O3116" s="50" t="s">
        <v>380</v>
      </c>
      <c r="P3116" s="49"/>
      <c r="Q3116" s="49">
        <f>Q3114*1000</f>
        <v>2000</v>
      </c>
      <c r="R3116" s="49">
        <f>R3114*1000*12</f>
        <v>3600</v>
      </c>
      <c r="S3116" s="48"/>
      <c r="T3116" s="49"/>
      <c r="U3116" s="49"/>
      <c r="V3116" s="48"/>
      <c r="W3116" s="48"/>
      <c r="X3116" s="48"/>
      <c r="Y3116" s="48"/>
      <c r="Z3116" s="48"/>
      <c r="AA3116" s="48"/>
      <c r="AB3116" s="48"/>
      <c r="AC3116" s="48"/>
      <c r="AD3116" s="48"/>
      <c r="AE3116" s="48"/>
      <c r="AF3116" s="48"/>
      <c r="AG3116" s="48"/>
      <c r="AH3116" s="48"/>
      <c r="AI3116" s="48"/>
      <c r="AJ3116" s="48"/>
      <c r="AK3116" s="48"/>
      <c r="AL3116" s="48"/>
      <c r="AM3116" s="48"/>
      <c r="AN3116" s="48"/>
      <c r="AO3116" s="48"/>
      <c r="AP3116" s="48"/>
      <c r="AQ3116" s="48"/>
      <c r="AR3116" s="48"/>
      <c r="AS3116" s="48"/>
      <c r="AT3116" s="48"/>
      <c r="AU3116" s="48"/>
    </row>
    <row r="3117" spans="1:74">
      <c r="A3117" s="1"/>
      <c r="B3117" s="1"/>
      <c r="D3117" s="48">
        <v>4</v>
      </c>
      <c r="E3117" s="48" t="s">
        <v>15</v>
      </c>
      <c r="F3117" s="6">
        <v>0</v>
      </c>
      <c r="G3117" s="50"/>
      <c r="O3117" s="50" t="s">
        <v>381</v>
      </c>
      <c r="P3117" s="48"/>
      <c r="Q3117" s="48">
        <f>Q3115*2000</f>
        <v>600</v>
      </c>
      <c r="R3117" s="48">
        <f>R3115*2000*12</f>
        <v>480</v>
      </c>
      <c r="S3117" s="48"/>
      <c r="T3117" s="49"/>
      <c r="U3117" s="49"/>
      <c r="V3117" s="48"/>
      <c r="W3117" s="48"/>
      <c r="X3117" s="48"/>
      <c r="Y3117" s="48"/>
      <c r="Z3117" s="48"/>
      <c r="AA3117" s="48"/>
      <c r="AB3117" s="48"/>
      <c r="AC3117" s="48"/>
      <c r="AD3117" s="48"/>
      <c r="AE3117" s="48"/>
      <c r="AF3117" s="48"/>
      <c r="AG3117" s="48"/>
      <c r="AH3117" s="48"/>
      <c r="AI3117" s="48"/>
      <c r="AJ3117" s="48"/>
      <c r="AK3117" s="48"/>
      <c r="AL3117" s="48"/>
      <c r="AM3117" s="48"/>
      <c r="AN3117" s="48"/>
      <c r="AO3117" s="48"/>
      <c r="AP3117" s="48"/>
      <c r="AQ3117" s="48"/>
      <c r="AR3117" s="48"/>
      <c r="AS3117" s="48"/>
      <c r="AT3117" s="48"/>
      <c r="AU3117" s="48"/>
    </row>
    <row r="3118" spans="1:74">
      <c r="A3118" s="1"/>
      <c r="B3118" s="1"/>
      <c r="D3118" s="48">
        <v>4</v>
      </c>
      <c r="E3118" s="48" t="s">
        <v>15</v>
      </c>
      <c r="F3118" s="6">
        <v>1</v>
      </c>
      <c r="P3118" s="48"/>
      <c r="Q3118" s="48"/>
      <c r="R3118" s="48"/>
      <c r="S3118" s="48"/>
      <c r="T3118" s="49"/>
      <c r="U3118" s="49"/>
      <c r="V3118" s="48"/>
      <c r="W3118" s="48"/>
      <c r="X3118" s="48"/>
      <c r="Y3118" s="48"/>
      <c r="Z3118" s="48"/>
      <c r="AA3118" s="48"/>
      <c r="AB3118" s="48"/>
      <c r="AC3118" s="48"/>
      <c r="AD3118" s="48"/>
      <c r="AE3118" s="48"/>
      <c r="AF3118" s="48"/>
      <c r="AG3118" s="48"/>
      <c r="AH3118" s="48"/>
      <c r="AI3118" s="48"/>
      <c r="AJ3118" s="48"/>
      <c r="AK3118" s="48"/>
      <c r="AL3118" s="48"/>
      <c r="AM3118" s="48"/>
      <c r="AN3118" s="48"/>
      <c r="AO3118" s="48"/>
      <c r="AP3118" s="48"/>
      <c r="AQ3118" s="48"/>
      <c r="AR3118" s="48"/>
      <c r="AS3118" s="48"/>
      <c r="AT3118" s="48"/>
      <c r="AU3118" s="48"/>
    </row>
    <row r="3119" spans="1:74">
      <c r="A3119" s="1"/>
      <c r="B3119" s="1"/>
      <c r="D3119" s="48"/>
      <c r="E3119" s="48" t="s">
        <v>113</v>
      </c>
      <c r="F3119" s="6">
        <v>200</v>
      </c>
      <c r="G3119" s="50">
        <v>768</v>
      </c>
      <c r="H3119" s="50">
        <f>256*9</f>
        <v>2304</v>
      </c>
      <c r="I3119" s="50">
        <f>G3119+7600</f>
        <v>8368</v>
      </c>
      <c r="J3119" s="50">
        <f>H3119-840*2</f>
        <v>624</v>
      </c>
      <c r="K3119" s="50" t="s">
        <v>22</v>
      </c>
      <c r="L3119" s="49">
        <v>-1</v>
      </c>
      <c r="M3119" s="49">
        <v>0</v>
      </c>
      <c r="N3119" s="49">
        <f>COUNT(S3119:CD3119)</f>
        <v>29</v>
      </c>
      <c r="O3119" s="50">
        <v>0</v>
      </c>
      <c r="P3119" s="50">
        <v>0</v>
      </c>
      <c r="Q3119" s="49">
        <v>3</v>
      </c>
      <c r="R3119" s="6" t="s">
        <v>725</v>
      </c>
      <c r="S3119" s="49">
        <v>0</v>
      </c>
      <c r="T3119" s="49">
        <f>S3119</f>
        <v>0</v>
      </c>
      <c r="U3119" s="49">
        <f>S3119+R3114</f>
        <v>0.3</v>
      </c>
      <c r="V3119" s="49">
        <f>U3119</f>
        <v>0.3</v>
      </c>
      <c r="W3119" s="49">
        <f>U3119+R3114</f>
        <v>0.6</v>
      </c>
      <c r="X3119" s="49">
        <f>W3119</f>
        <v>0.6</v>
      </c>
      <c r="Y3119" s="49">
        <f>W3119+R3114</f>
        <v>0.89999999999999991</v>
      </c>
      <c r="Z3119" s="49">
        <f>Y3119</f>
        <v>0.89999999999999991</v>
      </c>
      <c r="AA3119" s="49">
        <f>Y3119+R3114</f>
        <v>1.2</v>
      </c>
      <c r="AB3119" s="49">
        <f>AA3119</f>
        <v>1.2</v>
      </c>
      <c r="AC3119" s="49">
        <f>AA3119+R3114</f>
        <v>1.5</v>
      </c>
      <c r="AD3119" s="49">
        <f>AC3119</f>
        <v>1.5</v>
      </c>
      <c r="AE3119" s="49">
        <f>AC3119+R3114</f>
        <v>1.8</v>
      </c>
      <c r="AF3119" s="49">
        <f>AE3119</f>
        <v>1.8</v>
      </c>
      <c r="AG3119" s="49">
        <f>AE3119+R3114</f>
        <v>2.1</v>
      </c>
      <c r="AH3119" s="49">
        <f>AG3119</f>
        <v>2.1</v>
      </c>
      <c r="AI3119" s="49">
        <f>AG3119+R3114</f>
        <v>2.4</v>
      </c>
      <c r="AJ3119" s="49">
        <f>AI3119</f>
        <v>2.4</v>
      </c>
      <c r="AK3119" s="49">
        <f>AI3119+R3114</f>
        <v>2.6999999999999997</v>
      </c>
      <c r="AL3119" s="49">
        <f>AK3119</f>
        <v>2.6999999999999997</v>
      </c>
      <c r="AM3119" s="49">
        <f>AK3119+R3114</f>
        <v>2.9999999999999996</v>
      </c>
      <c r="AN3119" s="49">
        <f>AM3119</f>
        <v>2.9999999999999996</v>
      </c>
      <c r="AO3119" s="49">
        <f>AM3119+R3114</f>
        <v>3.2999999999999994</v>
      </c>
      <c r="AP3119" s="49">
        <f>AO3119</f>
        <v>3.2999999999999994</v>
      </c>
      <c r="AQ3119" s="49">
        <f>AO3119+R3114</f>
        <v>3.5999999999999992</v>
      </c>
      <c r="AR3119" s="49">
        <f>AQ3119</f>
        <v>3.5999999999999992</v>
      </c>
      <c r="AS3119" s="49">
        <f>AQ3119+Q3114</f>
        <v>5.6</v>
      </c>
      <c r="AT3119" s="49">
        <f>AS3119</f>
        <v>5.6</v>
      </c>
      <c r="AU3119" s="49">
        <f>AS3119+Q3114</f>
        <v>7.6</v>
      </c>
    </row>
    <row r="3120" spans="1:74">
      <c r="A3120" s="1"/>
      <c r="B3120" s="1"/>
      <c r="D3120" s="48"/>
      <c r="E3120" s="54" t="s">
        <v>448</v>
      </c>
      <c r="K3120" s="36" t="s">
        <v>374</v>
      </c>
      <c r="L3120" s="50">
        <v>-1</v>
      </c>
      <c r="M3120" s="49"/>
      <c r="N3120" s="48"/>
      <c r="O3120" s="49"/>
      <c r="P3120" s="49"/>
      <c r="Q3120" s="50">
        <v>2</v>
      </c>
      <c r="R3120" s="6" t="s">
        <v>725</v>
      </c>
      <c r="S3120" s="49">
        <v>0</v>
      </c>
      <c r="T3120" s="49">
        <f>S3120+R3115</f>
        <v>0.02</v>
      </c>
      <c r="U3120" s="49">
        <f>T3120</f>
        <v>0.02</v>
      </c>
      <c r="V3120" s="49">
        <f>U3120+R3115</f>
        <v>0.04</v>
      </c>
      <c r="W3120" s="49">
        <f>V3120</f>
        <v>0.04</v>
      </c>
      <c r="X3120" s="49">
        <f>W3120+R3115</f>
        <v>0.06</v>
      </c>
      <c r="Y3120" s="49">
        <f>X3120</f>
        <v>0.06</v>
      </c>
      <c r="Z3120" s="49">
        <f>Y3120+R3115</f>
        <v>0.08</v>
      </c>
      <c r="AA3120" s="49">
        <f>Z3120</f>
        <v>0.08</v>
      </c>
      <c r="AB3120" s="49">
        <f>AA3120+R3115</f>
        <v>0.1</v>
      </c>
      <c r="AC3120" s="49">
        <f>AB3120</f>
        <v>0.1</v>
      </c>
      <c r="AD3120" s="49">
        <f>AC3120+R3115</f>
        <v>0.12000000000000001</v>
      </c>
      <c r="AE3120" s="49">
        <f>AD3120</f>
        <v>0.12000000000000001</v>
      </c>
      <c r="AF3120" s="49">
        <f>AE3120+R3115</f>
        <v>0.14000000000000001</v>
      </c>
      <c r="AG3120" s="49">
        <f>AF3120</f>
        <v>0.14000000000000001</v>
      </c>
      <c r="AH3120" s="49">
        <f>AG3120+R3115</f>
        <v>0.16</v>
      </c>
      <c r="AI3120" s="49">
        <f>AH3120</f>
        <v>0.16</v>
      </c>
      <c r="AJ3120" s="49">
        <f>AI3120+R3115</f>
        <v>0.18</v>
      </c>
      <c r="AK3120" s="49">
        <f>AJ3120</f>
        <v>0.18</v>
      </c>
      <c r="AL3120" s="49">
        <f>AK3120+R3115</f>
        <v>0.19999999999999998</v>
      </c>
      <c r="AM3120" s="49">
        <f>AL3120</f>
        <v>0.19999999999999998</v>
      </c>
      <c r="AN3120" s="49">
        <f>AM3120+R3115</f>
        <v>0.21999999999999997</v>
      </c>
      <c r="AO3120" s="49">
        <f>AN3120</f>
        <v>0.21999999999999997</v>
      </c>
      <c r="AP3120" s="49">
        <f>AO3120+R3115</f>
        <v>0.23999999999999996</v>
      </c>
      <c r="AQ3120" s="49">
        <f>AP3120</f>
        <v>0.23999999999999996</v>
      </c>
      <c r="AR3120" s="49">
        <f>AQ3120+Q3115</f>
        <v>0.53999999999999992</v>
      </c>
      <c r="AS3120" s="49">
        <f>AR3120</f>
        <v>0.53999999999999992</v>
      </c>
      <c r="AT3120" s="49">
        <f>AS3120+Q3115</f>
        <v>0.83999999999999986</v>
      </c>
      <c r="AU3120" s="49">
        <f>AT3120</f>
        <v>0.83999999999999986</v>
      </c>
    </row>
    <row r="3121" spans="1:84">
      <c r="A3121" s="1"/>
      <c r="B3121" s="1"/>
      <c r="D3121" s="48"/>
      <c r="E3121" s="48" t="s">
        <v>113</v>
      </c>
      <c r="F3121" s="6">
        <v>200</v>
      </c>
      <c r="G3121" s="50">
        <v>768</v>
      </c>
      <c r="H3121" s="50">
        <f>H3119+256*11</f>
        <v>5120</v>
      </c>
      <c r="I3121" s="50">
        <f>G3121+7600</f>
        <v>8368</v>
      </c>
      <c r="J3121" s="50">
        <f>H3121-840*2</f>
        <v>3440</v>
      </c>
      <c r="K3121" s="50" t="s">
        <v>22</v>
      </c>
      <c r="L3121" s="49">
        <v>-1</v>
      </c>
      <c r="M3121" s="49"/>
      <c r="N3121" s="49">
        <f>COUNT(S3121:CD3121)</f>
        <v>29</v>
      </c>
      <c r="O3121" s="50"/>
      <c r="P3121" s="49"/>
      <c r="Q3121" s="50">
        <v>3</v>
      </c>
      <c r="R3121" s="6" t="s">
        <v>726</v>
      </c>
      <c r="S3121" s="49">
        <v>0</v>
      </c>
      <c r="T3121" s="49">
        <f>S3121</f>
        <v>0</v>
      </c>
      <c r="U3121" s="49">
        <f>S3121+Q3114</f>
        <v>2</v>
      </c>
      <c r="V3121" s="49">
        <f>U3121</f>
        <v>2</v>
      </c>
      <c r="W3121" s="49">
        <f>U3121+R3114</f>
        <v>2.2999999999999998</v>
      </c>
      <c r="X3121" s="49">
        <f>W3121</f>
        <v>2.2999999999999998</v>
      </c>
      <c r="Y3121" s="49">
        <f>W3121+R3114</f>
        <v>2.5999999999999996</v>
      </c>
      <c r="Z3121" s="49">
        <f>Y3121</f>
        <v>2.5999999999999996</v>
      </c>
      <c r="AA3121" s="49">
        <f>Y3121+R3114</f>
        <v>2.8999999999999995</v>
      </c>
      <c r="AB3121" s="49">
        <f>AA3121</f>
        <v>2.8999999999999995</v>
      </c>
      <c r="AC3121" s="49">
        <f>AA3121+R3114</f>
        <v>3.1999999999999993</v>
      </c>
      <c r="AD3121" s="49">
        <f>AC3121</f>
        <v>3.1999999999999993</v>
      </c>
      <c r="AE3121" s="49">
        <f>AC3121+R3114</f>
        <v>3.4999999999999991</v>
      </c>
      <c r="AF3121" s="49">
        <f>AE3121</f>
        <v>3.4999999999999991</v>
      </c>
      <c r="AG3121" s="49">
        <f>AE3121+R3114</f>
        <v>3.7999999999999989</v>
      </c>
      <c r="AH3121" s="49">
        <f>AG3121</f>
        <v>3.7999999999999989</v>
      </c>
      <c r="AI3121" s="49">
        <f>AG3121+R3114</f>
        <v>4.0999999999999988</v>
      </c>
      <c r="AJ3121" s="49">
        <f>AI3121</f>
        <v>4.0999999999999988</v>
      </c>
      <c r="AK3121" s="49">
        <f>AI3121+R3114</f>
        <v>4.3999999999999986</v>
      </c>
      <c r="AL3121" s="49">
        <f>AK3121</f>
        <v>4.3999999999999986</v>
      </c>
      <c r="AM3121" s="49">
        <f>AK3121+R3114</f>
        <v>4.6999999999999984</v>
      </c>
      <c r="AN3121" s="49">
        <f>AM3121</f>
        <v>4.6999999999999984</v>
      </c>
      <c r="AO3121" s="49">
        <f>AM3121+R3114</f>
        <v>4.9999999999999982</v>
      </c>
      <c r="AP3121" s="49">
        <f>AO3121</f>
        <v>4.9999999999999982</v>
      </c>
      <c r="AQ3121" s="49">
        <f>AO3121+R3114</f>
        <v>5.299999999999998</v>
      </c>
      <c r="AR3121" s="49">
        <f>AQ3121</f>
        <v>5.299999999999998</v>
      </c>
      <c r="AS3121" s="49">
        <f>AQ3121+R3114</f>
        <v>5.5999999999999979</v>
      </c>
      <c r="AT3121" s="49">
        <f>AS3121</f>
        <v>5.5999999999999979</v>
      </c>
      <c r="AU3121" s="49">
        <f>AS3121+Q3114</f>
        <v>7.5999999999999979</v>
      </c>
    </row>
    <row r="3122" spans="1:84">
      <c r="A3122" s="1"/>
      <c r="B3122" s="1"/>
      <c r="D3122" s="48"/>
      <c r="E3122" s="54" t="s">
        <v>448</v>
      </c>
      <c r="K3122" s="36" t="s">
        <v>375</v>
      </c>
      <c r="L3122" s="50">
        <v>-1</v>
      </c>
      <c r="M3122" s="49"/>
      <c r="N3122" s="48"/>
      <c r="O3122" s="49"/>
      <c r="P3122" s="49"/>
      <c r="Q3122" s="50">
        <v>2</v>
      </c>
      <c r="R3122" s="6" t="s">
        <v>726</v>
      </c>
      <c r="S3122" s="49">
        <v>0</v>
      </c>
      <c r="T3122" s="49">
        <f>S3122+Q3115</f>
        <v>0.3</v>
      </c>
      <c r="U3122" s="49">
        <f>T3122</f>
        <v>0.3</v>
      </c>
      <c r="V3122" s="49">
        <f>U3122+R3115</f>
        <v>0.32</v>
      </c>
      <c r="W3122" s="49">
        <f>V3122</f>
        <v>0.32</v>
      </c>
      <c r="X3122" s="49">
        <f>W3122+R3115</f>
        <v>0.34</v>
      </c>
      <c r="Y3122" s="49">
        <f>X3122</f>
        <v>0.34</v>
      </c>
      <c r="Z3122" s="49">
        <f>Y3122+R3115</f>
        <v>0.36000000000000004</v>
      </c>
      <c r="AA3122" s="49">
        <f>Z3122</f>
        <v>0.36000000000000004</v>
      </c>
      <c r="AB3122" s="49">
        <f>AA3122+R3115</f>
        <v>0.38000000000000006</v>
      </c>
      <c r="AC3122" s="49">
        <f>AB3122</f>
        <v>0.38000000000000006</v>
      </c>
      <c r="AD3122" s="49">
        <f>AC3122+R3115</f>
        <v>0.40000000000000008</v>
      </c>
      <c r="AE3122" s="49">
        <f>AD3122</f>
        <v>0.40000000000000008</v>
      </c>
      <c r="AF3122" s="49">
        <f>AE3122+R3115</f>
        <v>0.4200000000000001</v>
      </c>
      <c r="AG3122" s="49">
        <f>AF3122</f>
        <v>0.4200000000000001</v>
      </c>
      <c r="AH3122" s="49">
        <f>AG3122+R3115</f>
        <v>0.44000000000000011</v>
      </c>
      <c r="AI3122" s="49">
        <f>AH3122</f>
        <v>0.44000000000000011</v>
      </c>
      <c r="AJ3122" s="49">
        <f>AI3122+R3115</f>
        <v>0.46000000000000013</v>
      </c>
      <c r="AK3122" s="49">
        <f>AJ3122</f>
        <v>0.46000000000000013</v>
      </c>
      <c r="AL3122" s="49">
        <f>AK3122+R3115</f>
        <v>0.48000000000000015</v>
      </c>
      <c r="AM3122" s="49">
        <f>AL3122</f>
        <v>0.48000000000000015</v>
      </c>
      <c r="AN3122" s="49">
        <f>AM3122+R3115</f>
        <v>0.50000000000000011</v>
      </c>
      <c r="AO3122" s="49">
        <f>AN3122</f>
        <v>0.50000000000000011</v>
      </c>
      <c r="AP3122" s="49">
        <f>AO3122+R3115</f>
        <v>0.52000000000000013</v>
      </c>
      <c r="AQ3122" s="49">
        <f>AP3122</f>
        <v>0.52000000000000013</v>
      </c>
      <c r="AR3122" s="49">
        <f>AQ3122+R3115</f>
        <v>0.54000000000000015</v>
      </c>
      <c r="AS3122" s="49">
        <f>AR3122</f>
        <v>0.54000000000000015</v>
      </c>
      <c r="AT3122" s="49">
        <f>AS3122+Q3115</f>
        <v>0.84000000000000008</v>
      </c>
      <c r="AU3122" s="49">
        <f>AT3122</f>
        <v>0.84000000000000008</v>
      </c>
    </row>
    <row r="3123" spans="1:84">
      <c r="A3123" s="1"/>
      <c r="B3123" s="1"/>
      <c r="D3123" s="48"/>
      <c r="E3123" s="48" t="s">
        <v>113</v>
      </c>
      <c r="F3123" s="6">
        <v>200</v>
      </c>
      <c r="G3123" s="50">
        <v>768</v>
      </c>
      <c r="H3123" s="50">
        <f>H3121+256*11</f>
        <v>7936</v>
      </c>
      <c r="I3123" s="50">
        <f>G3123+7600</f>
        <v>8368</v>
      </c>
      <c r="J3123" s="50">
        <f>H3123-840*2</f>
        <v>6256</v>
      </c>
      <c r="K3123" s="50" t="s">
        <v>22</v>
      </c>
      <c r="L3123" s="50">
        <v>-1</v>
      </c>
      <c r="M3123" s="49"/>
      <c r="N3123" s="49">
        <f>COUNT(S3123:CD3123)</f>
        <v>29</v>
      </c>
      <c r="O3123" s="50"/>
      <c r="P3123" s="49"/>
      <c r="Q3123" s="50">
        <v>3</v>
      </c>
      <c r="R3123" s="6" t="s">
        <v>727</v>
      </c>
      <c r="S3123" s="49">
        <v>0</v>
      </c>
      <c r="T3123" s="49">
        <f>S3123</f>
        <v>0</v>
      </c>
      <c r="U3123" s="49">
        <f>S3123+Q3114</f>
        <v>2</v>
      </c>
      <c r="V3123" s="49">
        <f>U3123</f>
        <v>2</v>
      </c>
      <c r="W3123" s="49">
        <f>U3123+Q3114</f>
        <v>4</v>
      </c>
      <c r="X3123" s="49">
        <f>W3123</f>
        <v>4</v>
      </c>
      <c r="Y3123" s="49">
        <f>W3123+R3114</f>
        <v>4.3</v>
      </c>
      <c r="Z3123" s="49">
        <f>Y3123</f>
        <v>4.3</v>
      </c>
      <c r="AA3123" s="49">
        <f>Y3123+R3114</f>
        <v>4.5999999999999996</v>
      </c>
      <c r="AB3123" s="49">
        <f>AA3123</f>
        <v>4.5999999999999996</v>
      </c>
      <c r="AC3123" s="49">
        <f>AA3123+R3114</f>
        <v>4.8999999999999995</v>
      </c>
      <c r="AD3123" s="49">
        <f>AC3123</f>
        <v>4.8999999999999995</v>
      </c>
      <c r="AE3123" s="49">
        <f>AC3123+R3114</f>
        <v>5.1999999999999993</v>
      </c>
      <c r="AF3123" s="49">
        <f>AE3123</f>
        <v>5.1999999999999993</v>
      </c>
      <c r="AG3123" s="49">
        <f>AE3123+R3114</f>
        <v>5.4999999999999991</v>
      </c>
      <c r="AH3123" s="49">
        <f>AG3123</f>
        <v>5.4999999999999991</v>
      </c>
      <c r="AI3123" s="49">
        <f>AG3123+R3114</f>
        <v>5.7999999999999989</v>
      </c>
      <c r="AJ3123" s="49">
        <f>AI3123</f>
        <v>5.7999999999999989</v>
      </c>
      <c r="AK3123" s="49">
        <f>AI3123+R3114</f>
        <v>6.0999999999999988</v>
      </c>
      <c r="AL3123" s="49">
        <f>AK3123</f>
        <v>6.0999999999999988</v>
      </c>
      <c r="AM3123" s="49">
        <f>AK3123+R3114</f>
        <v>6.3999999999999986</v>
      </c>
      <c r="AN3123" s="49">
        <f>AM3123</f>
        <v>6.3999999999999986</v>
      </c>
      <c r="AO3123" s="49">
        <f>AM3123+R3114</f>
        <v>6.6999999999999984</v>
      </c>
      <c r="AP3123" s="49">
        <f>AO3123</f>
        <v>6.6999999999999984</v>
      </c>
      <c r="AQ3123" s="49">
        <f>AO3123+R3114</f>
        <v>6.9999999999999982</v>
      </c>
      <c r="AR3123" s="49">
        <f>AQ3123</f>
        <v>6.9999999999999982</v>
      </c>
      <c r="AS3123" s="49">
        <f>AQ3123+R3114</f>
        <v>7.299999999999998</v>
      </c>
      <c r="AT3123" s="49">
        <f>AS3123</f>
        <v>7.299999999999998</v>
      </c>
      <c r="AU3123" s="49">
        <f>AS3123+R3114</f>
        <v>7.5999999999999979</v>
      </c>
    </row>
    <row r="3124" spans="1:84">
      <c r="A3124" s="1"/>
      <c r="B3124" s="1"/>
      <c r="D3124" s="48"/>
      <c r="E3124" s="54" t="s">
        <v>448</v>
      </c>
      <c r="K3124" s="36" t="s">
        <v>376</v>
      </c>
      <c r="L3124" s="50">
        <v>1</v>
      </c>
      <c r="M3124" s="49"/>
      <c r="N3124" s="48"/>
      <c r="O3124" s="49"/>
      <c r="P3124" s="49"/>
      <c r="Q3124" s="50">
        <v>2</v>
      </c>
      <c r="R3124" s="6" t="s">
        <v>727</v>
      </c>
      <c r="S3124" s="49">
        <v>0</v>
      </c>
      <c r="T3124" s="49">
        <f>S3124+Q3115</f>
        <v>0.3</v>
      </c>
      <c r="U3124" s="49">
        <f>T3124</f>
        <v>0.3</v>
      </c>
      <c r="V3124" s="49">
        <f>U3124+Q3115</f>
        <v>0.6</v>
      </c>
      <c r="W3124" s="49">
        <f>V3124</f>
        <v>0.6</v>
      </c>
      <c r="X3124" s="49">
        <f>W3124+R3115</f>
        <v>0.62</v>
      </c>
      <c r="Y3124" s="49">
        <f>X3124</f>
        <v>0.62</v>
      </c>
      <c r="Z3124" s="49">
        <f>Y3124+R3115</f>
        <v>0.64</v>
      </c>
      <c r="AA3124" s="49">
        <f>Z3124</f>
        <v>0.64</v>
      </c>
      <c r="AB3124" s="49">
        <f>AA3124+R3115</f>
        <v>0.66</v>
      </c>
      <c r="AC3124" s="49">
        <f>AB3124</f>
        <v>0.66</v>
      </c>
      <c r="AD3124" s="49">
        <f>AC3124+R3115</f>
        <v>0.68</v>
      </c>
      <c r="AE3124" s="49">
        <f>AD3124</f>
        <v>0.68</v>
      </c>
      <c r="AF3124" s="49">
        <f>AE3124+R3115</f>
        <v>0.70000000000000007</v>
      </c>
      <c r="AG3124" s="49">
        <f>AF3124</f>
        <v>0.70000000000000007</v>
      </c>
      <c r="AH3124" s="49">
        <f>AG3124+R3115</f>
        <v>0.72000000000000008</v>
      </c>
      <c r="AI3124" s="49">
        <f>AH3124</f>
        <v>0.72000000000000008</v>
      </c>
      <c r="AJ3124" s="49">
        <f>AI3124+R3115</f>
        <v>0.7400000000000001</v>
      </c>
      <c r="AK3124" s="49">
        <f>AJ3124</f>
        <v>0.7400000000000001</v>
      </c>
      <c r="AL3124" s="49">
        <f>AK3124+R3115</f>
        <v>0.76000000000000012</v>
      </c>
      <c r="AM3124" s="49">
        <f>AL3124</f>
        <v>0.76000000000000012</v>
      </c>
      <c r="AN3124" s="49">
        <f>AM3124+R3115</f>
        <v>0.78000000000000014</v>
      </c>
      <c r="AO3124" s="49">
        <f>AN3124</f>
        <v>0.78000000000000014</v>
      </c>
      <c r="AP3124" s="49">
        <f>AO3124+R3115</f>
        <v>0.80000000000000016</v>
      </c>
      <c r="AQ3124" s="49">
        <f>AP3124</f>
        <v>0.80000000000000016</v>
      </c>
      <c r="AR3124" s="49">
        <f>AQ3124+R3115</f>
        <v>0.82000000000000017</v>
      </c>
      <c r="AS3124" s="49">
        <f>AR3124</f>
        <v>0.82000000000000017</v>
      </c>
      <c r="AT3124" s="49">
        <f>AS3124+R3115</f>
        <v>0.84000000000000019</v>
      </c>
      <c r="AU3124" s="49">
        <f>AT3124</f>
        <v>0.84000000000000019</v>
      </c>
    </row>
    <row r="3125" spans="1:84">
      <c r="A3125" s="1"/>
      <c r="B3125" s="1"/>
      <c r="D3125" s="48"/>
      <c r="E3125" s="48" t="s">
        <v>113</v>
      </c>
      <c r="F3125" s="6">
        <v>200</v>
      </c>
      <c r="G3125" s="50">
        <f>I3119+4*256</f>
        <v>9392</v>
      </c>
      <c r="H3125" s="50">
        <f>H3121+8*256</f>
        <v>7168</v>
      </c>
      <c r="I3125" s="50">
        <f>G3125+1800</f>
        <v>11192</v>
      </c>
      <c r="J3125" s="50">
        <f>H3125-4000</f>
        <v>3168</v>
      </c>
      <c r="K3125" s="50" t="s">
        <v>22</v>
      </c>
      <c r="L3125" s="50">
        <v>1</v>
      </c>
      <c r="M3125" s="49"/>
      <c r="N3125" s="49">
        <f>COUNT(S3125:CD3125)</f>
        <v>3</v>
      </c>
      <c r="O3125" s="50"/>
      <c r="P3125" s="49"/>
      <c r="Q3125" s="50">
        <v>3</v>
      </c>
      <c r="R3125" s="49"/>
      <c r="S3125" s="49">
        <v>0</v>
      </c>
      <c r="T3125" s="49">
        <f>S3125</f>
        <v>0</v>
      </c>
      <c r="U3125" s="49">
        <f>S3125+P3114</f>
        <v>18</v>
      </c>
      <c r="V3125" s="49"/>
      <c r="W3125" s="49"/>
      <c r="X3125" s="49"/>
      <c r="Y3125" s="49"/>
      <c r="Z3125" s="49"/>
      <c r="AA3125" s="49"/>
      <c r="AB3125" s="49"/>
      <c r="AC3125" s="49"/>
      <c r="AD3125" s="49"/>
      <c r="AE3125" s="49"/>
      <c r="AF3125" s="49"/>
      <c r="AG3125" s="49"/>
      <c r="AH3125" s="49"/>
      <c r="AI3125" s="49"/>
      <c r="AJ3125" s="49"/>
      <c r="AK3125" s="49"/>
      <c r="AL3125" s="49"/>
      <c r="AM3125" s="49"/>
      <c r="AN3125" s="49"/>
      <c r="AO3125" s="49"/>
      <c r="AP3125" s="49"/>
      <c r="AQ3125" s="49"/>
      <c r="AR3125" s="49"/>
      <c r="AS3125" s="49"/>
      <c r="AT3125" s="49"/>
      <c r="AU3125" s="49"/>
    </row>
    <row r="3126" spans="1:84">
      <c r="A3126" s="1"/>
      <c r="B3126" s="1"/>
      <c r="D3126" s="48">
        <v>4</v>
      </c>
      <c r="E3126" s="48" t="s">
        <v>15</v>
      </c>
      <c r="F3126" s="6">
        <v>4</v>
      </c>
      <c r="K3126" s="36" t="s">
        <v>382</v>
      </c>
      <c r="L3126" s="50"/>
      <c r="P3126" s="48"/>
      <c r="Q3126" s="50">
        <v>2</v>
      </c>
      <c r="R3126" s="49"/>
      <c r="S3126" s="49">
        <v>0</v>
      </c>
      <c r="T3126" s="49">
        <f>S3126+P3115</f>
        <v>0.2</v>
      </c>
      <c r="U3126" s="49">
        <f>T3126</f>
        <v>0.2</v>
      </c>
      <c r="V3126" s="49"/>
      <c r="W3126" s="49"/>
      <c r="X3126" s="49"/>
      <c r="Y3126" s="49"/>
      <c r="Z3126" s="49"/>
      <c r="AA3126" s="49"/>
      <c r="AB3126" s="49"/>
      <c r="AC3126" s="49"/>
      <c r="AD3126" s="49"/>
      <c r="AE3126" s="49"/>
      <c r="AF3126" s="49"/>
      <c r="AG3126" s="49"/>
      <c r="AH3126" s="49"/>
      <c r="AI3126" s="49"/>
      <c r="AJ3126" s="49"/>
      <c r="AK3126" s="49"/>
      <c r="AL3126" s="49"/>
      <c r="AM3126" s="49"/>
      <c r="AN3126" s="49"/>
      <c r="AO3126" s="49"/>
      <c r="AP3126" s="49"/>
      <c r="AQ3126" s="49"/>
      <c r="AR3126" s="49"/>
      <c r="AS3126" s="49"/>
      <c r="AT3126" s="49"/>
      <c r="AU3126" s="49"/>
    </row>
    <row r="3127" spans="1:84">
      <c r="A3127" s="1"/>
      <c r="B3127" s="1"/>
      <c r="D3127" s="49">
        <f>F3127*2+4</f>
        <v>16</v>
      </c>
      <c r="E3127" s="49" t="s">
        <v>4</v>
      </c>
      <c r="F3127" s="50">
        <v>6</v>
      </c>
      <c r="G3127" s="50">
        <f>I3119</f>
        <v>8368</v>
      </c>
      <c r="H3127" s="50">
        <f>H3119</f>
        <v>2304</v>
      </c>
      <c r="I3127" s="50">
        <f>G3127-2*Q3116</f>
        <v>4368</v>
      </c>
      <c r="J3127" s="50">
        <f t="shared" ref="J3127:K3129" si="166">H3127</f>
        <v>2304</v>
      </c>
      <c r="K3127" s="50">
        <f t="shared" si="166"/>
        <v>4368</v>
      </c>
      <c r="L3127" s="50">
        <f>J3127-R3117</f>
        <v>1824</v>
      </c>
      <c r="M3127" s="6">
        <f>K3127+Q3116</f>
        <v>6368</v>
      </c>
      <c r="N3127" s="6">
        <f t="shared" ref="N3127:O3129" si="167">L3127</f>
        <v>1824</v>
      </c>
      <c r="O3127" s="6">
        <f t="shared" si="167"/>
        <v>6368</v>
      </c>
      <c r="P3127" s="48">
        <f>N3127-Q3117</f>
        <v>1224</v>
      </c>
      <c r="Q3127" s="49">
        <f>G3127</f>
        <v>8368</v>
      </c>
      <c r="R3127" s="49">
        <f>P3127</f>
        <v>1224</v>
      </c>
      <c r="S3127" s="49"/>
      <c r="T3127" s="49"/>
      <c r="U3127" s="49"/>
      <c r="V3127" s="48"/>
      <c r="W3127" s="48"/>
      <c r="X3127" s="48"/>
      <c r="Y3127" s="48"/>
      <c r="Z3127" s="48"/>
      <c r="AA3127" s="48"/>
      <c r="AB3127" s="49"/>
      <c r="AC3127" s="49"/>
      <c r="AD3127" s="49"/>
      <c r="AE3127" s="49"/>
      <c r="AF3127" s="49"/>
      <c r="AG3127" s="49"/>
      <c r="AH3127" s="49"/>
      <c r="AI3127" s="49"/>
      <c r="AJ3127" s="49"/>
      <c r="AK3127" s="49"/>
      <c r="AL3127" s="49"/>
      <c r="AM3127" s="49"/>
      <c r="AN3127" s="49"/>
      <c r="AO3127" s="49"/>
      <c r="AP3127" s="49"/>
      <c r="AQ3127" s="49"/>
      <c r="AR3127" s="49"/>
      <c r="AS3127" s="49"/>
      <c r="AT3127" s="49"/>
      <c r="AU3127" s="49"/>
    </row>
    <row r="3128" spans="1:84" s="2" customFormat="1">
      <c r="A3128"/>
      <c r="B3128"/>
      <c r="C3128"/>
      <c r="D3128" s="49">
        <f>F3128*2+4</f>
        <v>16</v>
      </c>
      <c r="E3128" s="49" t="s">
        <v>4</v>
      </c>
      <c r="F3128" s="50">
        <v>6</v>
      </c>
      <c r="G3128" s="50">
        <f>I3121</f>
        <v>8368</v>
      </c>
      <c r="H3128" s="50">
        <f>H3121</f>
        <v>5120</v>
      </c>
      <c r="I3128" s="50">
        <f>G3128-Q3116-R3116</f>
        <v>2768</v>
      </c>
      <c r="J3128" s="50">
        <f t="shared" si="166"/>
        <v>5120</v>
      </c>
      <c r="K3128" s="50">
        <f t="shared" si="166"/>
        <v>2768</v>
      </c>
      <c r="L3128" s="50">
        <f>J3128-Q3117</f>
        <v>4520</v>
      </c>
      <c r="M3128" s="50">
        <f>K3128+R3116</f>
        <v>6368</v>
      </c>
      <c r="N3128" s="6">
        <f t="shared" si="167"/>
        <v>4520</v>
      </c>
      <c r="O3128" s="6">
        <f t="shared" si="167"/>
        <v>6368</v>
      </c>
      <c r="P3128" s="49">
        <f>N3128-R3117</f>
        <v>4040</v>
      </c>
      <c r="Q3128" s="49">
        <f>G3128</f>
        <v>8368</v>
      </c>
      <c r="R3128" s="49">
        <f>P3128</f>
        <v>4040</v>
      </c>
      <c r="S3128" s="49"/>
      <c r="T3128" s="49"/>
      <c r="U3128" s="49"/>
      <c r="V3128" s="48"/>
      <c r="W3128" s="48"/>
      <c r="X3128" s="48"/>
      <c r="Y3128" s="48"/>
      <c r="Z3128" s="48"/>
      <c r="AA3128" s="48"/>
      <c r="AB3128" s="49"/>
      <c r="AC3128" s="49"/>
      <c r="AD3128" s="49"/>
      <c r="AE3128" s="49"/>
      <c r="AF3128" s="49"/>
      <c r="AG3128" s="49"/>
      <c r="AH3128" s="49"/>
      <c r="AI3128" s="49"/>
      <c r="AJ3128" s="49"/>
      <c r="AK3128" s="49"/>
      <c r="AL3128" s="49"/>
      <c r="AM3128" s="49"/>
      <c r="AN3128" s="49"/>
      <c r="AO3128" s="49"/>
      <c r="AP3128" s="49"/>
      <c r="AQ3128" s="49"/>
      <c r="AR3128" s="49"/>
      <c r="AS3128" s="49"/>
      <c r="AT3128" s="48"/>
      <c r="AU3128" s="48"/>
    </row>
    <row r="3129" spans="1:84" s="2" customFormat="1">
      <c r="A3129"/>
      <c r="B3129"/>
      <c r="C3129"/>
      <c r="D3129" s="49">
        <f>F3129*2+4</f>
        <v>16</v>
      </c>
      <c r="E3129" s="49" t="s">
        <v>4</v>
      </c>
      <c r="F3129" s="50">
        <v>6</v>
      </c>
      <c r="G3129" s="50">
        <f>I3123</f>
        <v>8368</v>
      </c>
      <c r="H3129" s="50">
        <f>H3123</f>
        <v>7936</v>
      </c>
      <c r="I3129" s="50">
        <f>G3129-Q3116-R3116</f>
        <v>2768</v>
      </c>
      <c r="J3129" s="50">
        <f t="shared" si="166"/>
        <v>7936</v>
      </c>
      <c r="K3129" s="50">
        <f t="shared" si="166"/>
        <v>2768</v>
      </c>
      <c r="L3129" s="36">
        <f>J3129-Q3117</f>
        <v>7336</v>
      </c>
      <c r="M3129" s="50">
        <f>K3129+Q3116</f>
        <v>4768</v>
      </c>
      <c r="N3129" s="6">
        <f t="shared" si="167"/>
        <v>7336</v>
      </c>
      <c r="O3129" s="6">
        <f t="shared" si="167"/>
        <v>4768</v>
      </c>
      <c r="P3129" s="49">
        <f>N3129-Q3117</f>
        <v>6736</v>
      </c>
      <c r="Q3129" s="49">
        <f>G3129</f>
        <v>8368</v>
      </c>
      <c r="R3129" s="49">
        <f>P3129</f>
        <v>6736</v>
      </c>
      <c r="S3129" s="48"/>
      <c r="T3129" s="48"/>
      <c r="U3129" s="48"/>
      <c r="V3129" s="48"/>
      <c r="W3129" s="48"/>
      <c r="X3129" s="48"/>
      <c r="Y3129" s="48"/>
      <c r="Z3129" s="48"/>
      <c r="AA3129" s="48"/>
      <c r="AB3129" s="48"/>
      <c r="AC3129" s="48"/>
      <c r="AD3129" s="48"/>
      <c r="AE3129" s="48"/>
      <c r="AF3129" s="48"/>
      <c r="AG3129" s="48"/>
      <c r="AH3129" s="48"/>
      <c r="AI3129" s="48"/>
      <c r="AJ3129" s="48"/>
      <c r="AK3129" s="48"/>
      <c r="AL3129" s="48"/>
      <c r="AM3129" s="48"/>
      <c r="AN3129" s="48"/>
      <c r="AO3129" s="48"/>
      <c r="AP3129" s="48"/>
      <c r="AQ3129" s="48"/>
      <c r="AR3129" s="48"/>
      <c r="AS3129" s="48"/>
      <c r="AT3129" s="48"/>
      <c r="AU3129" s="48"/>
    </row>
    <row r="3130" spans="1:84" s="2" customFormat="1">
      <c r="A3130"/>
      <c r="B3130"/>
      <c r="C3130"/>
      <c r="D3130" s="49"/>
      <c r="E3130" s="48" t="s">
        <v>517</v>
      </c>
      <c r="F3130" s="50" t="s">
        <v>602</v>
      </c>
      <c r="G3130" s="50">
        <f>256*28</f>
        <v>7168</v>
      </c>
      <c r="H3130" s="50">
        <f>3*256</f>
        <v>768</v>
      </c>
      <c r="I3130" s="50">
        <f>H3130+256*11</f>
        <v>3584</v>
      </c>
      <c r="J3130" s="50">
        <f>I3130+256*11</f>
        <v>6400</v>
      </c>
      <c r="K3130" s="50"/>
      <c r="L3130" s="50"/>
      <c r="M3130" s="6"/>
      <c r="N3130" s="6"/>
      <c r="O3130" s="6"/>
      <c r="P3130" s="48"/>
      <c r="Q3130" s="48"/>
      <c r="R3130" s="48"/>
      <c r="S3130" s="48"/>
      <c r="T3130" s="48"/>
      <c r="U3130" s="48"/>
      <c r="V3130" s="48"/>
      <c r="W3130" s="48"/>
      <c r="X3130" s="48"/>
      <c r="Y3130" s="48"/>
      <c r="Z3130" s="48"/>
      <c r="AA3130" s="48"/>
      <c r="AB3130" s="48"/>
      <c r="AC3130" s="48"/>
      <c r="AD3130" s="48"/>
      <c r="AE3130" s="48"/>
      <c r="AF3130" s="48"/>
      <c r="AG3130" s="48"/>
      <c r="AH3130" s="48"/>
      <c r="AI3130" s="48"/>
      <c r="AJ3130" s="48"/>
      <c r="AK3130" s="48"/>
      <c r="AL3130" s="48"/>
      <c r="AM3130" s="48"/>
      <c r="AN3130" s="48"/>
      <c r="AO3130" s="48"/>
      <c r="AP3130" s="48"/>
      <c r="AQ3130" s="48"/>
      <c r="AR3130" s="48"/>
      <c r="AS3130" s="48"/>
      <c r="AT3130" s="48"/>
      <c r="AU3130" s="48"/>
      <c r="AV3130"/>
      <c r="AW3130"/>
      <c r="AX3130"/>
      <c r="AY3130"/>
      <c r="AZ3130"/>
      <c r="BA3130"/>
      <c r="BB3130"/>
      <c r="BC3130"/>
      <c r="BD3130"/>
      <c r="BE3130"/>
      <c r="BF3130"/>
      <c r="BG3130"/>
      <c r="BH3130"/>
      <c r="BI3130"/>
      <c r="BJ3130"/>
      <c r="BK3130"/>
      <c r="BL3130"/>
      <c r="BM3130"/>
      <c r="BN3130"/>
      <c r="BO3130"/>
      <c r="BP3130"/>
      <c r="BQ3130"/>
      <c r="BR3130"/>
      <c r="BS3130"/>
      <c r="BT3130"/>
    </row>
    <row r="3131" spans="1:84" s="2" customFormat="1">
      <c r="A3131"/>
      <c r="B3131"/>
      <c r="C3131"/>
      <c r="D3131" s="49">
        <f t="shared" ref="D3131:D3136" si="168">ROUNDUP(6+F3131/2,0)</f>
        <v>9</v>
      </c>
      <c r="E3131" s="49" t="s">
        <v>6</v>
      </c>
      <c r="F3131" s="50">
        <f t="shared" ref="F3131:F3136" si="169">LEN(G3131)</f>
        <v>6</v>
      </c>
      <c r="G3131" s="50" t="s">
        <v>373</v>
      </c>
      <c r="H3131" s="50">
        <f>7.5*256</f>
        <v>1920</v>
      </c>
      <c r="I3131" s="50">
        <f>256*12</f>
        <v>3072</v>
      </c>
      <c r="J3131" s="6"/>
      <c r="K3131" s="6"/>
      <c r="L3131" s="6"/>
      <c r="M3131" s="6"/>
      <c r="N3131" s="6"/>
      <c r="O3131" s="6"/>
      <c r="P3131" s="48"/>
      <c r="Q3131" s="48"/>
      <c r="R3131" s="48"/>
      <c r="S3131" s="48"/>
      <c r="T3131" s="48"/>
      <c r="U3131" s="48"/>
      <c r="V3131" s="48"/>
      <c r="W3131" s="48"/>
      <c r="X3131" s="48"/>
      <c r="Y3131" s="48"/>
      <c r="Z3131" s="48"/>
      <c r="AA3131" s="48"/>
      <c r="AB3131" s="48"/>
      <c r="AC3131" s="48"/>
      <c r="AD3131" s="48"/>
      <c r="AE3131" s="48"/>
      <c r="AF3131" s="48"/>
      <c r="AG3131" s="48"/>
      <c r="AH3131" s="48"/>
      <c r="AI3131" s="48"/>
      <c r="AJ3131" s="48"/>
      <c r="AK3131" s="48"/>
      <c r="AL3131" s="48"/>
      <c r="AM3131" s="48"/>
      <c r="AN3131" s="48"/>
      <c r="AO3131" s="48"/>
      <c r="AP3131" s="48"/>
      <c r="AQ3131" s="48"/>
      <c r="AR3131" s="48"/>
      <c r="AS3131" s="48"/>
      <c r="AT3131" s="48"/>
      <c r="AU3131" s="48"/>
      <c r="AV3131"/>
      <c r="AW3131"/>
      <c r="AX3131"/>
      <c r="AY3131"/>
      <c r="AZ3131"/>
      <c r="BA3131"/>
      <c r="BB3131"/>
      <c r="BC3131"/>
      <c r="BD3131"/>
      <c r="BE3131"/>
      <c r="BF3131"/>
      <c r="BG3131"/>
      <c r="BH3131"/>
      <c r="BI3131"/>
      <c r="BJ3131"/>
      <c r="BK3131"/>
      <c r="BL3131"/>
      <c r="BM3131"/>
      <c r="BN3131"/>
      <c r="BO3131"/>
      <c r="BP3131"/>
      <c r="BQ3131"/>
      <c r="BR3131"/>
      <c r="BS3131"/>
      <c r="BT3131"/>
    </row>
    <row r="3132" spans="1:84">
      <c r="D3132" s="49">
        <f t="shared" si="168"/>
        <v>8</v>
      </c>
      <c r="E3132" s="49" t="s">
        <v>6</v>
      </c>
      <c r="F3132" s="50">
        <f t="shared" si="169"/>
        <v>4</v>
      </c>
      <c r="G3132" s="50" t="s">
        <v>372</v>
      </c>
      <c r="H3132" s="50">
        <f>H3131+256*10.5</f>
        <v>4608</v>
      </c>
      <c r="I3132" s="50">
        <f>256*6</f>
        <v>1536</v>
      </c>
      <c r="P3132" s="48"/>
      <c r="Q3132" s="48"/>
      <c r="R3132" s="48"/>
      <c r="S3132" s="48"/>
      <c r="T3132" s="48"/>
      <c r="U3132" s="48"/>
      <c r="V3132" s="48"/>
      <c r="W3132" s="48"/>
      <c r="X3132" s="48"/>
      <c r="Y3132" s="48"/>
      <c r="Z3132" s="48"/>
      <c r="AA3132" s="48"/>
      <c r="AB3132" s="48"/>
      <c r="AC3132" s="48"/>
      <c r="AD3132" s="48"/>
      <c r="AE3132" s="48"/>
      <c r="AF3132" s="48"/>
      <c r="AG3132" s="48"/>
      <c r="AH3132" s="48"/>
      <c r="AI3132" s="48"/>
      <c r="AJ3132" s="48"/>
      <c r="AK3132" s="48"/>
      <c r="AL3132" s="48"/>
      <c r="AM3132" s="48"/>
      <c r="AN3132" s="48"/>
      <c r="AO3132" s="48"/>
      <c r="AP3132" s="48"/>
      <c r="AQ3132" s="48"/>
      <c r="AR3132" s="48"/>
      <c r="AS3132" s="48"/>
      <c r="AT3132" s="48"/>
      <c r="AU3132" s="48"/>
      <c r="CC3132" s="2"/>
      <c r="CD3132" s="2"/>
      <c r="CE3132" s="2"/>
      <c r="CF3132" s="2"/>
    </row>
    <row r="3133" spans="1:84">
      <c r="D3133" s="49">
        <f t="shared" si="168"/>
        <v>8</v>
      </c>
      <c r="E3133" s="49" t="s">
        <v>6</v>
      </c>
      <c r="F3133" s="50">
        <f t="shared" si="169"/>
        <v>4</v>
      </c>
      <c r="G3133" s="50" t="s">
        <v>372</v>
      </c>
      <c r="H3133" s="50">
        <f>H3132+256*11</f>
        <v>7424</v>
      </c>
      <c r="I3133" s="50">
        <f>256*6</f>
        <v>1536</v>
      </c>
      <c r="J3133" s="50"/>
      <c r="K3133" s="50"/>
      <c r="L3133" s="36"/>
      <c r="M3133" s="50"/>
      <c r="N3133" s="50"/>
      <c r="O3133" s="50"/>
      <c r="P3133" s="49"/>
      <c r="Q3133" s="49"/>
      <c r="R3133" s="49"/>
      <c r="S3133" s="49"/>
      <c r="T3133" s="49"/>
      <c r="U3133" s="49"/>
      <c r="V3133" s="49"/>
      <c r="W3133" s="49"/>
      <c r="X3133" s="49"/>
      <c r="Y3133" s="49"/>
      <c r="Z3133" s="49"/>
      <c r="AA3133" s="49"/>
      <c r="AB3133" s="49"/>
      <c r="AC3133" s="49"/>
      <c r="AD3133" s="49"/>
      <c r="AE3133" s="49"/>
      <c r="AF3133" s="49"/>
      <c r="AG3133" s="49"/>
      <c r="AH3133" s="49"/>
      <c r="AI3133" s="49"/>
      <c r="AJ3133" s="49"/>
      <c r="AK3133" s="49"/>
      <c r="AL3133" s="49"/>
      <c r="AM3133" s="49"/>
      <c r="AN3133" s="49"/>
      <c r="AO3133" s="49"/>
      <c r="AP3133" s="49"/>
      <c r="AQ3133" s="49"/>
      <c r="AR3133" s="49"/>
      <c r="AS3133" s="49"/>
      <c r="AT3133" s="48"/>
      <c r="AU3133" s="48"/>
      <c r="CC3133" s="2"/>
      <c r="CD3133" s="2"/>
      <c r="CE3133" s="2"/>
      <c r="CF3133" s="2"/>
    </row>
    <row r="3134" spans="1:84" s="2" customFormat="1">
      <c r="A3134"/>
      <c r="B3134"/>
      <c r="C3134"/>
      <c r="D3134" s="49">
        <f t="shared" si="168"/>
        <v>8</v>
      </c>
      <c r="E3134" s="49" t="s">
        <v>6</v>
      </c>
      <c r="F3134" s="50">
        <f t="shared" si="169"/>
        <v>4</v>
      </c>
      <c r="G3134" s="50" t="s">
        <v>372</v>
      </c>
      <c r="H3134" s="50">
        <f>H3131-2*256</f>
        <v>1408</v>
      </c>
      <c r="I3134" s="50">
        <f>I3131+8*256</f>
        <v>5120</v>
      </c>
      <c r="J3134" s="6"/>
      <c r="K3134" s="50"/>
      <c r="L3134" s="50"/>
      <c r="M3134" s="6"/>
      <c r="N3134" s="6"/>
      <c r="O3134" s="6"/>
      <c r="P3134" s="48"/>
      <c r="Q3134" s="49"/>
      <c r="R3134" s="49"/>
      <c r="S3134" s="49"/>
      <c r="T3134" s="49"/>
      <c r="U3134" s="49"/>
      <c r="V3134" s="49"/>
      <c r="W3134" s="49"/>
      <c r="X3134" s="49"/>
      <c r="Y3134" s="49"/>
      <c r="Z3134" s="49"/>
      <c r="AA3134" s="49"/>
      <c r="AB3134" s="49"/>
      <c r="AC3134" s="49"/>
      <c r="AD3134" s="49"/>
      <c r="AE3134" s="49"/>
      <c r="AF3134" s="49"/>
      <c r="AG3134" s="49"/>
      <c r="AH3134" s="49"/>
      <c r="AI3134" s="49"/>
      <c r="AJ3134" s="49"/>
      <c r="AK3134" s="49"/>
      <c r="AL3134" s="49"/>
      <c r="AM3134" s="49"/>
      <c r="AN3134" s="49"/>
      <c r="AO3134" s="49"/>
      <c r="AP3134" s="49"/>
      <c r="AQ3134" s="49"/>
      <c r="AR3134" s="49"/>
      <c r="AS3134" s="49"/>
      <c r="AT3134" s="49"/>
      <c r="AU3134" s="49"/>
      <c r="AV3134"/>
      <c r="AW3134"/>
      <c r="AX3134"/>
      <c r="AY3134"/>
      <c r="AZ3134"/>
      <c r="BA3134"/>
      <c r="BB3134"/>
      <c r="BC3134"/>
      <c r="BD3134"/>
      <c r="BE3134"/>
      <c r="BF3134"/>
      <c r="BG3134"/>
      <c r="BH3134"/>
      <c r="BI3134"/>
      <c r="BJ3134"/>
      <c r="BK3134"/>
      <c r="BL3134"/>
      <c r="BM3134"/>
      <c r="BN3134"/>
      <c r="BO3134"/>
      <c r="BP3134"/>
      <c r="BQ3134"/>
      <c r="BR3134"/>
      <c r="BS3134"/>
      <c r="BT3134"/>
    </row>
    <row r="3135" spans="1:84" s="2" customFormat="1">
      <c r="A3135"/>
      <c r="B3135"/>
      <c r="C3135"/>
      <c r="D3135" s="49">
        <f t="shared" si="168"/>
        <v>9</v>
      </c>
      <c r="E3135" s="49" t="s">
        <v>6</v>
      </c>
      <c r="F3135" s="50">
        <f t="shared" si="169"/>
        <v>6</v>
      </c>
      <c r="G3135" s="50" t="s">
        <v>373</v>
      </c>
      <c r="H3135" s="50">
        <f>H3132-2*256</f>
        <v>4096</v>
      </c>
      <c r="I3135" s="50">
        <f>I3132+15*256</f>
        <v>5376</v>
      </c>
      <c r="J3135" s="50"/>
      <c r="K3135" s="50"/>
      <c r="L3135" s="36"/>
      <c r="M3135" s="50"/>
      <c r="N3135" s="50"/>
      <c r="O3135" s="50"/>
      <c r="P3135" s="49"/>
      <c r="Q3135" s="49"/>
      <c r="R3135" s="49"/>
      <c r="S3135" s="49"/>
      <c r="T3135" s="49"/>
      <c r="U3135" s="49"/>
      <c r="V3135" s="49"/>
      <c r="W3135" s="49"/>
      <c r="X3135" s="48"/>
      <c r="Y3135" s="48"/>
      <c r="Z3135" s="48"/>
      <c r="AA3135" s="48"/>
      <c r="AB3135" s="49"/>
      <c r="AC3135" s="49"/>
      <c r="AD3135" s="49"/>
      <c r="AE3135" s="49"/>
      <c r="AF3135" s="49"/>
      <c r="AG3135" s="49"/>
      <c r="AH3135" s="49"/>
      <c r="AI3135" s="49"/>
      <c r="AJ3135" s="49"/>
      <c r="AK3135" s="49"/>
      <c r="AL3135" s="49"/>
      <c r="AM3135" s="49"/>
      <c r="AN3135" s="49"/>
      <c r="AO3135" s="49"/>
      <c r="AP3135" s="49"/>
      <c r="AQ3135" s="49"/>
      <c r="AR3135" s="49"/>
      <c r="AS3135" s="49"/>
      <c r="AT3135" s="49"/>
      <c r="AU3135" s="49"/>
    </row>
    <row r="3136" spans="1:84" s="2" customFormat="1">
      <c r="A3136"/>
      <c r="B3136"/>
      <c r="C3136"/>
      <c r="D3136" s="49">
        <f t="shared" si="168"/>
        <v>8</v>
      </c>
      <c r="E3136" s="49" t="s">
        <v>6</v>
      </c>
      <c r="F3136" s="50">
        <f t="shared" si="169"/>
        <v>4</v>
      </c>
      <c r="G3136" s="50" t="s">
        <v>372</v>
      </c>
      <c r="H3136" s="50">
        <f>H3133-2*256</f>
        <v>6912</v>
      </c>
      <c r="I3136" s="50">
        <f>I3133+8*256</f>
        <v>3584</v>
      </c>
      <c r="J3136" s="6"/>
      <c r="K3136" s="50"/>
      <c r="L3136" s="50"/>
      <c r="M3136" s="6"/>
      <c r="N3136" s="6"/>
      <c r="O3136" s="6"/>
      <c r="P3136" s="48"/>
      <c r="Q3136" s="49"/>
      <c r="R3136" s="49"/>
      <c r="S3136" s="49"/>
      <c r="T3136" s="49"/>
      <c r="U3136" s="49"/>
      <c r="V3136" s="49"/>
      <c r="W3136" s="49"/>
      <c r="X3136" s="49"/>
      <c r="Y3136" s="49"/>
      <c r="Z3136" s="49"/>
      <c r="AA3136" s="49"/>
      <c r="AB3136" s="49"/>
      <c r="AC3136" s="49"/>
      <c r="AD3136" s="49"/>
      <c r="AE3136" s="49"/>
      <c r="AF3136" s="49"/>
      <c r="AG3136" s="49"/>
      <c r="AH3136" s="49"/>
      <c r="AI3136" s="49"/>
      <c r="AJ3136" s="49"/>
      <c r="AK3136" s="49"/>
      <c r="AL3136" s="49"/>
      <c r="AM3136" s="49"/>
      <c r="AN3136" s="49"/>
      <c r="AO3136" s="49"/>
      <c r="AP3136" s="49"/>
      <c r="AQ3136" s="49"/>
      <c r="AR3136" s="49"/>
      <c r="AS3136" s="49"/>
      <c r="AT3136" s="49"/>
      <c r="AU3136" s="49"/>
    </row>
    <row r="3140" spans="4:28">
      <c r="D3140" t="s">
        <v>106</v>
      </c>
      <c r="E3140" s="1">
        <f>COUNT(E3149:BG3149)</f>
        <v>24</v>
      </c>
      <c r="G3140" s="31" t="s">
        <v>384</v>
      </c>
      <c r="H3140" s="25">
        <v>100</v>
      </c>
      <c r="K3140" s="31" t="s">
        <v>394</v>
      </c>
      <c r="L3140" s="31" t="s">
        <v>395</v>
      </c>
      <c r="M3140" s="31" t="s">
        <v>396</v>
      </c>
      <c r="N3140" s="31" t="s">
        <v>397</v>
      </c>
      <c r="P3140" s="1" t="s">
        <v>398</v>
      </c>
      <c r="S3140" s="1" t="s">
        <v>403</v>
      </c>
      <c r="U3140" s="1" t="s">
        <v>407</v>
      </c>
      <c r="V3140" s="1" t="s">
        <v>7</v>
      </c>
      <c r="X3140" s="1" t="s">
        <v>408</v>
      </c>
      <c r="Y3140" s="4">
        <v>300</v>
      </c>
    </row>
    <row r="3141" spans="4:28">
      <c r="D3141" t="s">
        <v>107</v>
      </c>
      <c r="E3141" s="1">
        <f>COUNT(D3150:D3250)</f>
        <v>82</v>
      </c>
      <c r="G3141" s="31" t="s">
        <v>386</v>
      </c>
      <c r="H3141" s="25">
        <v>-250</v>
      </c>
      <c r="J3141" s="31" t="s">
        <v>390</v>
      </c>
      <c r="K3141" s="25">
        <v>255</v>
      </c>
      <c r="L3141" s="25">
        <v>0</v>
      </c>
      <c r="M3141" s="25">
        <v>0</v>
      </c>
      <c r="N3141" s="25">
        <v>0.9</v>
      </c>
      <c r="P3141" s="1" t="s">
        <v>399</v>
      </c>
      <c r="Q3141" s="4">
        <v>600</v>
      </c>
      <c r="S3141" s="1" t="s">
        <v>2</v>
      </c>
      <c r="T3141" s="4" t="s">
        <v>299</v>
      </c>
      <c r="U3141" s="4">
        <v>0</v>
      </c>
      <c r="V3141" s="4">
        <v>0</v>
      </c>
      <c r="X3141" s="1" t="s">
        <v>409</v>
      </c>
      <c r="Y3141" s="4">
        <v>20</v>
      </c>
    </row>
    <row r="3142" spans="4:28">
      <c r="D3142" t="s">
        <v>383</v>
      </c>
      <c r="E3142" s="4" t="s">
        <v>422</v>
      </c>
      <c r="G3142" s="31" t="s">
        <v>385</v>
      </c>
      <c r="H3142" s="25">
        <v>300</v>
      </c>
      <c r="J3142" s="31" t="s">
        <v>391</v>
      </c>
      <c r="K3142" s="25">
        <v>255</v>
      </c>
      <c r="L3142" s="25">
        <v>255</v>
      </c>
      <c r="M3142" s="25">
        <v>0</v>
      </c>
      <c r="P3142" s="1" t="s">
        <v>400</v>
      </c>
      <c r="Q3142" s="4">
        <v>900</v>
      </c>
      <c r="S3142" s="1" t="s">
        <v>3</v>
      </c>
      <c r="T3142" s="4" t="s">
        <v>296</v>
      </c>
      <c r="U3142" s="4">
        <v>-800</v>
      </c>
      <c r="V3142" s="4">
        <v>300</v>
      </c>
      <c r="X3142" s="1" t="s">
        <v>419</v>
      </c>
      <c r="Y3142" s="4">
        <v>-500</v>
      </c>
    </row>
    <row r="3143" spans="4:28">
      <c r="D3143" s="1" t="s">
        <v>436</v>
      </c>
      <c r="E3143" s="4">
        <v>2</v>
      </c>
      <c r="G3143" s="31" t="s">
        <v>387</v>
      </c>
      <c r="H3143" s="25">
        <v>0</v>
      </c>
      <c r="J3143" s="31" t="s">
        <v>392</v>
      </c>
      <c r="K3143" s="25">
        <v>0</v>
      </c>
      <c r="L3143" s="25">
        <v>255</v>
      </c>
      <c r="M3143" s="25">
        <v>0</v>
      </c>
      <c r="N3143" s="25">
        <v>1.1000000000000001</v>
      </c>
      <c r="P3143" s="1" t="s">
        <v>401</v>
      </c>
      <c r="Q3143" s="4">
        <v>400</v>
      </c>
      <c r="S3143" s="1" t="s">
        <v>404</v>
      </c>
      <c r="T3143" s="4" t="s">
        <v>405</v>
      </c>
      <c r="U3143" s="4">
        <v>0</v>
      </c>
      <c r="V3143" s="4">
        <v>0</v>
      </c>
      <c r="X3143" s="1" t="s">
        <v>418</v>
      </c>
      <c r="Y3143" s="4">
        <v>100</v>
      </c>
    </row>
    <row r="3144" spans="4:28">
      <c r="D3144" s="1" t="s">
        <v>406</v>
      </c>
      <c r="E3144" s="4">
        <v>1</v>
      </c>
      <c r="G3144" s="31" t="s">
        <v>388</v>
      </c>
      <c r="H3144" s="25">
        <v>1000</v>
      </c>
      <c r="J3144" s="31" t="s">
        <v>393</v>
      </c>
      <c r="K3144" s="25">
        <v>0</v>
      </c>
      <c r="L3144" s="25">
        <v>0</v>
      </c>
      <c r="M3144" s="25">
        <v>0</v>
      </c>
      <c r="P3144" s="1" t="s">
        <v>402</v>
      </c>
      <c r="Q3144" s="4">
        <v>1200</v>
      </c>
      <c r="S3144" s="1" t="s">
        <v>389</v>
      </c>
      <c r="T3144" s="4" t="s">
        <v>421</v>
      </c>
      <c r="U3144" s="4">
        <v>3500</v>
      </c>
      <c r="V3144" s="4">
        <v>100</v>
      </c>
      <c r="X3144" s="1" t="s">
        <v>420</v>
      </c>
      <c r="Y3144" s="4">
        <v>600</v>
      </c>
    </row>
    <row r="3145" spans="4:28">
      <c r="D3145" s="1" t="s">
        <v>415</v>
      </c>
      <c r="E3145" s="4">
        <v>1</v>
      </c>
      <c r="G3145" s="31"/>
      <c r="H3145" s="25"/>
      <c r="J3145" s="31" t="s">
        <v>437</v>
      </c>
      <c r="K3145" s="25"/>
      <c r="L3145" s="25" t="s">
        <v>442</v>
      </c>
      <c r="M3145" s="25"/>
      <c r="P3145" s="1"/>
      <c r="Q3145" s="4"/>
      <c r="S3145" s="1" t="s">
        <v>411</v>
      </c>
      <c r="T3145" s="4">
        <v>8</v>
      </c>
      <c r="V3145" s="4"/>
      <c r="X3145" s="1" t="s">
        <v>426</v>
      </c>
      <c r="Y3145" s="4">
        <v>600</v>
      </c>
      <c r="AA3145" s="1"/>
      <c r="AB3145" s="4"/>
    </row>
    <row r="3146" spans="4:28">
      <c r="D3146" s="1" t="s">
        <v>416</v>
      </c>
      <c r="E3146" s="4">
        <v>200</v>
      </c>
      <c r="G3146" s="31"/>
      <c r="H3146" s="25"/>
      <c r="J3146" s="31" t="s">
        <v>430</v>
      </c>
      <c r="K3146" s="25"/>
      <c r="L3146" s="25" t="s">
        <v>440</v>
      </c>
      <c r="M3146" s="25"/>
      <c r="P3146" s="1"/>
      <c r="Q3146" s="4"/>
      <c r="S3146" s="1" t="s">
        <v>412</v>
      </c>
      <c r="T3146" s="4">
        <v>0.25</v>
      </c>
      <c r="U3146" s="1" t="s">
        <v>410</v>
      </c>
      <c r="V3146" s="4"/>
      <c r="Y3146" s="4"/>
      <c r="AA3146" s="1"/>
      <c r="AB3146" s="4"/>
    </row>
    <row r="3147" spans="4:28">
      <c r="D3147" s="1" t="s">
        <v>417</v>
      </c>
      <c r="E3147" s="4">
        <v>6400</v>
      </c>
      <c r="G3147" s="31"/>
      <c r="H3147" s="25"/>
      <c r="J3147" s="31" t="s">
        <v>435</v>
      </c>
      <c r="K3147" s="25"/>
      <c r="L3147" s="25" t="s">
        <v>441</v>
      </c>
      <c r="M3147" s="25"/>
      <c r="P3147" s="1"/>
      <c r="Q3147" s="4"/>
      <c r="S3147" s="1" t="s">
        <v>413</v>
      </c>
      <c r="T3147" s="4">
        <v>3</v>
      </c>
      <c r="U3147" s="4">
        <v>0</v>
      </c>
      <c r="V3147" s="4"/>
      <c r="X3147" s="1"/>
      <c r="Y3147" s="4"/>
      <c r="AA3147" s="1"/>
      <c r="AB3147" s="4"/>
    </row>
    <row r="3148" spans="4:28">
      <c r="G3148" s="31"/>
      <c r="H3148" s="25"/>
      <c r="J3148" s="31"/>
      <c r="K3148" s="25"/>
      <c r="L3148" s="25"/>
      <c r="M3148" s="25"/>
      <c r="P3148" s="1"/>
      <c r="Q3148" s="4"/>
      <c r="S3148" s="1" t="s">
        <v>414</v>
      </c>
      <c r="T3148" s="4">
        <v>1</v>
      </c>
      <c r="U3148" s="4">
        <v>0</v>
      </c>
      <c r="V3148" s="4"/>
      <c r="X3148" s="1"/>
      <c r="Y3148" s="4"/>
      <c r="AA3148" s="1"/>
      <c r="AB3148" s="4"/>
    </row>
    <row r="3149" spans="4:28">
      <c r="D3149" s="5"/>
      <c r="E3149">
        <v>3.3333333333333333E-2</v>
      </c>
      <c r="F3149" s="6">
        <v>6.6666666666666666E-2</v>
      </c>
      <c r="G3149" s="6">
        <v>0.1</v>
      </c>
      <c r="H3149" s="6">
        <v>0.13333333333333333</v>
      </c>
      <c r="I3149" s="6">
        <v>0.16666666666666669</v>
      </c>
      <c r="J3149" s="6">
        <v>0.2</v>
      </c>
      <c r="K3149" s="6">
        <v>0.23333333333333334</v>
      </c>
      <c r="L3149" s="6">
        <v>0.26666666666666672</v>
      </c>
      <c r="M3149" s="6">
        <v>0.30000000000000004</v>
      </c>
      <c r="N3149" s="6">
        <v>0.33333333333333337</v>
      </c>
      <c r="O3149" s="6">
        <v>0.3666666666666667</v>
      </c>
      <c r="P3149">
        <v>0.4</v>
      </c>
      <c r="Q3149">
        <v>0.43333333333333335</v>
      </c>
      <c r="R3149">
        <v>0.46666666666666667</v>
      </c>
      <c r="S3149">
        <v>0.5</v>
      </c>
      <c r="T3149">
        <v>0.53333333333333333</v>
      </c>
      <c r="U3149">
        <v>0.56666666666666665</v>
      </c>
      <c r="V3149">
        <v>0.6</v>
      </c>
      <c r="W3149">
        <v>0.6333333333333333</v>
      </c>
      <c r="X3149">
        <v>0.66666666666666663</v>
      </c>
      <c r="Y3149">
        <v>0.7</v>
      </c>
      <c r="Z3149">
        <v>0.73333333333333328</v>
      </c>
      <c r="AA3149">
        <v>0.76666666666666661</v>
      </c>
      <c r="AB3149">
        <v>0.79999999999999993</v>
      </c>
    </row>
    <row r="3150" spans="4:28">
      <c r="D3150">
        <v>0</v>
      </c>
      <c r="E3150">
        <v>0.5</v>
      </c>
      <c r="F3150" s="6">
        <v>0.5</v>
      </c>
      <c r="G3150" s="6">
        <v>0.5</v>
      </c>
      <c r="H3150" s="6">
        <v>0.5</v>
      </c>
      <c r="I3150" s="6">
        <v>0.5</v>
      </c>
      <c r="J3150" s="6">
        <v>0.5</v>
      </c>
      <c r="K3150" s="6">
        <v>0.5</v>
      </c>
      <c r="L3150" s="6">
        <v>0.5</v>
      </c>
      <c r="M3150" s="6">
        <v>0.5</v>
      </c>
      <c r="N3150" s="6">
        <v>0.5</v>
      </c>
      <c r="O3150" s="6">
        <v>0.5</v>
      </c>
      <c r="P3150">
        <v>0.5</v>
      </c>
      <c r="Q3150">
        <v>0.5</v>
      </c>
      <c r="R3150">
        <v>0.5</v>
      </c>
      <c r="S3150">
        <v>0.5</v>
      </c>
      <c r="T3150">
        <v>0.5</v>
      </c>
      <c r="U3150">
        <v>0.5</v>
      </c>
      <c r="V3150">
        <v>0.5</v>
      </c>
      <c r="W3150">
        <v>0.5</v>
      </c>
      <c r="X3150">
        <v>0.5</v>
      </c>
      <c r="Y3150">
        <v>0.5</v>
      </c>
      <c r="Z3150">
        <v>0.5</v>
      </c>
      <c r="AA3150">
        <v>0.5</v>
      </c>
      <c r="AB3150">
        <v>0.5</v>
      </c>
    </row>
    <row r="3151" spans="4:28">
      <c r="D3151">
        <v>0.05</v>
      </c>
      <c r="E3151">
        <v>0.85355339059327373</v>
      </c>
      <c r="F3151" s="6">
        <v>0.75</v>
      </c>
      <c r="G3151" s="6">
        <v>0.70412414523193156</v>
      </c>
      <c r="H3151" s="6">
        <v>0.67677669529663687</v>
      </c>
      <c r="I3151" s="6">
        <v>0.658113883008419</v>
      </c>
      <c r="J3151" s="6">
        <v>0.64433756729740643</v>
      </c>
      <c r="K3151" s="6">
        <v>0.63363062095621214</v>
      </c>
      <c r="L3151" s="6">
        <v>0.625</v>
      </c>
      <c r="M3151" s="6">
        <v>0.61785113019775795</v>
      </c>
      <c r="N3151" s="6">
        <v>0.61180339887498947</v>
      </c>
      <c r="O3151" s="6">
        <v>0.60660035817780522</v>
      </c>
      <c r="P3151">
        <v>0.60206207261596578</v>
      </c>
      <c r="Q3151">
        <v>0.59805806756909208</v>
      </c>
      <c r="R3151">
        <v>0.59449111825230683</v>
      </c>
      <c r="S3151">
        <v>0.59128709291752768</v>
      </c>
      <c r="T3151">
        <v>0.58838834764831849</v>
      </c>
      <c r="U3151">
        <v>0.58574929257125441</v>
      </c>
      <c r="V3151">
        <v>0.58333333333333337</v>
      </c>
      <c r="W3151">
        <v>0.58111071056538122</v>
      </c>
      <c r="X3151">
        <v>0.5790569415042095</v>
      </c>
      <c r="Y3151">
        <v>0.57715167498104591</v>
      </c>
      <c r="Z3151">
        <v>0.57537783614444094</v>
      </c>
      <c r="AA3151">
        <v>0.5737209780774486</v>
      </c>
      <c r="AB3151">
        <v>0.57216878364870327</v>
      </c>
    </row>
    <row r="3152" spans="4:28">
      <c r="D3152">
        <v>0.1</v>
      </c>
      <c r="E3152">
        <v>1</v>
      </c>
      <c r="F3152" s="6">
        <v>0.85355339059327373</v>
      </c>
      <c r="G3152" s="6">
        <v>0.78867513459481287</v>
      </c>
      <c r="H3152" s="6">
        <v>0.75</v>
      </c>
      <c r="I3152" s="6">
        <v>0.72360679774997894</v>
      </c>
      <c r="J3152" s="6">
        <v>0.70412414523193156</v>
      </c>
      <c r="K3152" s="6">
        <v>0.68898223650461365</v>
      </c>
      <c r="L3152" s="6">
        <v>0.67677669529663687</v>
      </c>
      <c r="M3152" s="6">
        <v>0.66666666666666663</v>
      </c>
      <c r="N3152" s="6">
        <v>0.658113883008419</v>
      </c>
      <c r="O3152" s="6">
        <v>0.65075567228888187</v>
      </c>
      <c r="P3152">
        <v>0.64433756729740643</v>
      </c>
      <c r="Q3152">
        <v>0.63867504905630734</v>
      </c>
      <c r="R3152">
        <v>0.63363062095621214</v>
      </c>
      <c r="S3152">
        <v>0.62909944487358049</v>
      </c>
      <c r="T3152">
        <v>0.625</v>
      </c>
      <c r="U3152">
        <v>0.62126781251816654</v>
      </c>
      <c r="V3152">
        <v>0.61785113019775795</v>
      </c>
      <c r="W3152">
        <v>0.6147078669352809</v>
      </c>
      <c r="X3152">
        <v>0.61180339887498947</v>
      </c>
      <c r="Y3152">
        <v>0.60910894511799618</v>
      </c>
      <c r="Z3152">
        <v>0.60660035817780522</v>
      </c>
      <c r="AA3152">
        <v>0.60425720702853736</v>
      </c>
      <c r="AB3152">
        <v>0.60206207261596578</v>
      </c>
    </row>
    <row r="3153" spans="4:28">
      <c r="D3153">
        <v>0.15000000000000002</v>
      </c>
      <c r="E3153">
        <v>1.1123724356957947</v>
      </c>
      <c r="F3153" s="6">
        <v>0.93301270189221941</v>
      </c>
      <c r="G3153" s="6">
        <v>0.85355339059327373</v>
      </c>
      <c r="H3153" s="6">
        <v>0.80618621784789735</v>
      </c>
      <c r="I3153" s="6">
        <v>0.77386127875258315</v>
      </c>
      <c r="J3153" s="6">
        <v>0.75</v>
      </c>
      <c r="K3153" s="6">
        <v>0.73145502494313785</v>
      </c>
      <c r="L3153" s="6">
        <v>0.71650635094610959</v>
      </c>
      <c r="M3153" s="6">
        <v>0.70412414523193156</v>
      </c>
      <c r="N3153" s="6">
        <v>0.69364916731037085</v>
      </c>
      <c r="O3153" s="6">
        <v>0.6846372364689991</v>
      </c>
      <c r="P3153">
        <v>0.67677669529663687</v>
      </c>
      <c r="Q3153">
        <v>0.66984155512168941</v>
      </c>
      <c r="R3153">
        <v>0.66366341767699433</v>
      </c>
      <c r="S3153">
        <v>0.658113883008419</v>
      </c>
      <c r="T3153">
        <v>0.65309310892394867</v>
      </c>
      <c r="U3153">
        <v>0.64852213144650117</v>
      </c>
      <c r="V3153">
        <v>0.64433756729740643</v>
      </c>
      <c r="W3153">
        <v>0.64048787173725408</v>
      </c>
      <c r="X3153">
        <v>0.63693063937629157</v>
      </c>
      <c r="Y3153">
        <v>0.63363062095621225</v>
      </c>
      <c r="Z3153">
        <v>0.63055824196677346</v>
      </c>
      <c r="AA3153">
        <v>0.62768847961381224</v>
      </c>
      <c r="AB3153">
        <v>0.625</v>
      </c>
    </row>
    <row r="3154" spans="4:28">
      <c r="D3154">
        <v>0.2</v>
      </c>
      <c r="E3154">
        <v>1.2071067811865475</v>
      </c>
      <c r="F3154" s="6">
        <v>1</v>
      </c>
      <c r="G3154" s="6">
        <v>0.90824829046386302</v>
      </c>
      <c r="H3154" s="6">
        <v>0.85355339059327373</v>
      </c>
      <c r="I3154" s="6">
        <v>0.816227766016838</v>
      </c>
      <c r="J3154" s="6">
        <v>0.78867513459481287</v>
      </c>
      <c r="K3154" s="6">
        <v>0.7672612419124244</v>
      </c>
      <c r="L3154" s="6">
        <v>0.75</v>
      </c>
      <c r="M3154" s="6">
        <v>0.73570226039551589</v>
      </c>
      <c r="N3154" s="6">
        <v>0.72360679774997894</v>
      </c>
      <c r="O3154" s="6">
        <v>0.71320071635561044</v>
      </c>
      <c r="P3154">
        <v>0.70412414523193156</v>
      </c>
      <c r="Q3154">
        <v>0.69611613513818404</v>
      </c>
      <c r="R3154">
        <v>0.68898223650461365</v>
      </c>
      <c r="S3154">
        <v>0.68257418583505536</v>
      </c>
      <c r="T3154">
        <v>0.67677669529663687</v>
      </c>
      <c r="U3154">
        <v>0.67149858514250882</v>
      </c>
      <c r="V3154">
        <v>0.66666666666666674</v>
      </c>
      <c r="W3154">
        <v>0.66222142113076254</v>
      </c>
      <c r="X3154">
        <v>0.658113883008419</v>
      </c>
      <c r="Y3154">
        <v>0.65430334996209194</v>
      </c>
      <c r="Z3154">
        <v>0.65075567228888187</v>
      </c>
      <c r="AA3154">
        <v>0.64744195615489719</v>
      </c>
      <c r="AB3154">
        <v>0.64433756729740643</v>
      </c>
    </row>
    <row r="3155" spans="4:28">
      <c r="D3155">
        <v>0.25</v>
      </c>
      <c r="E3155">
        <v>1.290569415042095</v>
      </c>
      <c r="F3155" s="6">
        <v>1.0590169943749475</v>
      </c>
      <c r="G3155" s="6">
        <v>0.9564354645876384</v>
      </c>
      <c r="H3155" s="6">
        <v>0.8952847075210475</v>
      </c>
      <c r="I3155" s="6">
        <v>0.85355339059327373</v>
      </c>
      <c r="J3155" s="6">
        <v>0.82274861218395134</v>
      </c>
      <c r="K3155" s="6">
        <v>0.79880715233359845</v>
      </c>
      <c r="L3155" s="6">
        <v>0.77950849718747373</v>
      </c>
      <c r="M3155" s="6">
        <v>0.76352313834736485</v>
      </c>
      <c r="N3155" s="6">
        <v>0.75</v>
      </c>
      <c r="O3155" s="6">
        <v>0.73836564731139809</v>
      </c>
      <c r="P3155">
        <v>0.72821773229381925</v>
      </c>
      <c r="Q3155">
        <v>0.7192645048267573</v>
      </c>
      <c r="R3155">
        <v>0.71128856368212912</v>
      </c>
      <c r="S3155">
        <v>0.70412414523193156</v>
      </c>
      <c r="T3155">
        <v>0.69764235376052375</v>
      </c>
      <c r="U3155">
        <v>0.6917412472118426</v>
      </c>
      <c r="V3155">
        <v>0.68633899812498245</v>
      </c>
      <c r="W3155">
        <v>0.68136906252750284</v>
      </c>
      <c r="X3155">
        <v>0.67677669529663687</v>
      </c>
      <c r="Y3155">
        <v>0.67251638983558859</v>
      </c>
      <c r="Z3155">
        <v>0.66854996561581048</v>
      </c>
      <c r="AA3155">
        <v>0.66484511834894677</v>
      </c>
      <c r="AB3155">
        <v>0.66137430609197567</v>
      </c>
    </row>
    <row r="3156" spans="4:28">
      <c r="D3156">
        <v>0.3</v>
      </c>
      <c r="E3156">
        <v>1.3660254037844386</v>
      </c>
      <c r="F3156" s="6">
        <v>1.1123724356957945</v>
      </c>
      <c r="G3156" s="6">
        <v>1</v>
      </c>
      <c r="H3156" s="6">
        <v>0.9330127018922193</v>
      </c>
      <c r="I3156" s="6">
        <v>0.8872983346207417</v>
      </c>
      <c r="J3156" s="6">
        <v>0.85355339059327373</v>
      </c>
      <c r="K3156" s="6">
        <v>0.82732683535398865</v>
      </c>
      <c r="L3156" s="6">
        <v>0.80618621784789724</v>
      </c>
      <c r="M3156" s="6">
        <v>0.78867513459481287</v>
      </c>
      <c r="N3156" s="6">
        <v>0.77386127875258304</v>
      </c>
      <c r="O3156" s="6">
        <v>0.76111648393354669</v>
      </c>
      <c r="P3156">
        <v>0.75</v>
      </c>
      <c r="Q3156">
        <v>0.74019223070763074</v>
      </c>
      <c r="R3156">
        <v>0.73145502494313785</v>
      </c>
      <c r="S3156">
        <v>0.72360679774997894</v>
      </c>
      <c r="T3156">
        <v>0.71650635094610959</v>
      </c>
      <c r="U3156">
        <v>0.71004201260420152</v>
      </c>
      <c r="V3156">
        <v>0.70412414523193156</v>
      </c>
      <c r="W3156">
        <v>0.69867985355975659</v>
      </c>
      <c r="X3156">
        <v>0.69364916731037085</v>
      </c>
      <c r="Y3156">
        <v>0.68898223650461365</v>
      </c>
      <c r="Z3156">
        <v>0.6846372364689991</v>
      </c>
      <c r="AA3156">
        <v>0.68057877962865376</v>
      </c>
      <c r="AB3156">
        <v>0.67677669529663687</v>
      </c>
    </row>
    <row r="3157" spans="4:28">
      <c r="D3157">
        <v>0.35</v>
      </c>
      <c r="E3157">
        <v>1.4354143466934852</v>
      </c>
      <c r="F3157" s="6">
        <v>1.1614378277661475</v>
      </c>
      <c r="G3157" s="6">
        <v>1.0400617248673216</v>
      </c>
      <c r="H3157" s="6">
        <v>0.96770717334674261</v>
      </c>
      <c r="I3157" s="6">
        <v>0.91833001326703778</v>
      </c>
      <c r="J3157" s="6">
        <v>0.88188130791298658</v>
      </c>
      <c r="K3157" s="6">
        <v>0.85355339059327373</v>
      </c>
      <c r="L3157" s="6">
        <v>0.83071891388307373</v>
      </c>
      <c r="M3157" s="6">
        <v>0.81180478223116181</v>
      </c>
      <c r="N3157" s="6">
        <v>0.79580398915498085</v>
      </c>
      <c r="O3157" s="6">
        <v>0.78203803740888311</v>
      </c>
      <c r="P3157">
        <v>0.77003086243366081</v>
      </c>
      <c r="Q3157">
        <v>0.75943726083138541</v>
      </c>
      <c r="R3157">
        <v>0.75</v>
      </c>
      <c r="S3157">
        <v>0.74152294576982403</v>
      </c>
      <c r="T3157">
        <v>0.73385358667337131</v>
      </c>
      <c r="U3157">
        <v>0.72687130324325755</v>
      </c>
      <c r="V3157">
        <v>0.72047927592204919</v>
      </c>
      <c r="W3157">
        <v>0.71459876881973805</v>
      </c>
      <c r="X3157">
        <v>0.70916500663351889</v>
      </c>
      <c r="Y3157">
        <v>0.70412414523193156</v>
      </c>
      <c r="Z3157">
        <v>0.69943100880436637</v>
      </c>
      <c r="AA3157">
        <v>0.69504737440137343</v>
      </c>
      <c r="AB3157">
        <v>0.69094065395649329</v>
      </c>
    </row>
    <row r="3158" spans="4:28">
      <c r="D3158">
        <v>0.39999999999999997</v>
      </c>
      <c r="E3158">
        <v>1.5</v>
      </c>
      <c r="F3158" s="6">
        <v>1.2071067811865475</v>
      </c>
      <c r="G3158" s="6">
        <v>1.0773502691896257</v>
      </c>
      <c r="H3158" s="6">
        <v>1</v>
      </c>
      <c r="I3158" s="6">
        <v>0.94721359549995787</v>
      </c>
      <c r="J3158" s="6">
        <v>0.90824829046386291</v>
      </c>
      <c r="K3158" s="6">
        <v>0.8779644730092272</v>
      </c>
      <c r="L3158" s="6">
        <v>0.85355339059327373</v>
      </c>
      <c r="M3158" s="6">
        <v>0.83333333333333326</v>
      </c>
      <c r="N3158" s="6">
        <v>0.816227766016838</v>
      </c>
      <c r="O3158" s="6">
        <v>0.80151134457776363</v>
      </c>
      <c r="P3158">
        <v>0.78867513459481287</v>
      </c>
      <c r="Q3158">
        <v>0.77735009811261446</v>
      </c>
      <c r="R3158">
        <v>0.7672612419124244</v>
      </c>
      <c r="S3158">
        <v>0.7581988897471611</v>
      </c>
      <c r="T3158">
        <v>0.75</v>
      </c>
      <c r="U3158">
        <v>0.74253562503633297</v>
      </c>
      <c r="V3158">
        <v>0.73570226039551589</v>
      </c>
      <c r="W3158">
        <v>0.7294157338705618</v>
      </c>
      <c r="X3158">
        <v>0.72360679774997894</v>
      </c>
      <c r="Y3158">
        <v>0.71821789023599236</v>
      </c>
      <c r="Z3158">
        <v>0.71320071635561044</v>
      </c>
      <c r="AA3158">
        <v>0.70851441405707472</v>
      </c>
      <c r="AB3158">
        <v>0.70412414523193156</v>
      </c>
    </row>
    <row r="3159" spans="4:28">
      <c r="D3159">
        <v>0.44999999999999996</v>
      </c>
      <c r="E3159">
        <v>1.5606601717798212</v>
      </c>
      <c r="F3159" s="6">
        <v>1.25</v>
      </c>
      <c r="G3159" s="6">
        <v>1.1123724356957945</v>
      </c>
      <c r="H3159" s="6">
        <v>1.0303300858899105</v>
      </c>
      <c r="I3159" s="6">
        <v>0.97434164902525688</v>
      </c>
      <c r="J3159" s="6">
        <v>0.93301270189221919</v>
      </c>
      <c r="K3159" s="6">
        <v>0.90089186286863654</v>
      </c>
      <c r="L3159" s="6">
        <v>0.875</v>
      </c>
      <c r="M3159" s="6">
        <v>0.85355339059327373</v>
      </c>
      <c r="N3159" s="6">
        <v>0.83541019662496852</v>
      </c>
      <c r="O3159" s="6">
        <v>0.81980107453341566</v>
      </c>
      <c r="P3159">
        <v>0.80618621784789724</v>
      </c>
      <c r="Q3159">
        <v>0.79417420270727601</v>
      </c>
      <c r="R3159">
        <v>0.78347335475692037</v>
      </c>
      <c r="S3159">
        <v>0.77386127875258304</v>
      </c>
      <c r="T3159">
        <v>0.76516504294495524</v>
      </c>
      <c r="U3159">
        <v>0.75724787771376323</v>
      </c>
      <c r="V3159">
        <v>0.75</v>
      </c>
      <c r="W3159">
        <v>0.74333213169614376</v>
      </c>
      <c r="X3159">
        <v>0.7371708245126285</v>
      </c>
      <c r="Y3159">
        <v>0.73145502494313785</v>
      </c>
      <c r="Z3159">
        <v>0.72613350843332269</v>
      </c>
      <c r="AA3159">
        <v>0.72116293423234568</v>
      </c>
      <c r="AB3159">
        <v>0.71650635094610959</v>
      </c>
    </row>
    <row r="3160" spans="4:28">
      <c r="D3160">
        <v>0.49999999999999994</v>
      </c>
      <c r="E3160">
        <v>1.6180339887498947</v>
      </c>
      <c r="F3160" s="6">
        <v>1.2905694150420948</v>
      </c>
      <c r="G3160" s="6">
        <v>1.1454972243679027</v>
      </c>
      <c r="H3160" s="6">
        <v>1.0590169943749475</v>
      </c>
      <c r="I3160" s="6">
        <v>1</v>
      </c>
      <c r="J3160" s="6">
        <v>0.9564354645876384</v>
      </c>
      <c r="K3160" s="6">
        <v>0.92257712736425823</v>
      </c>
      <c r="L3160" s="6">
        <v>0.89528470752104727</v>
      </c>
      <c r="M3160" s="6">
        <v>0.87267799624996489</v>
      </c>
      <c r="N3160" s="6">
        <v>0.85355339059327373</v>
      </c>
      <c r="O3160" s="6">
        <v>0.83709993123162096</v>
      </c>
      <c r="P3160">
        <v>0.82274861218395134</v>
      </c>
      <c r="Q3160">
        <v>0.81008683647302115</v>
      </c>
      <c r="R3160">
        <v>0.79880715233359845</v>
      </c>
      <c r="S3160">
        <v>0.78867513459481287</v>
      </c>
      <c r="T3160">
        <v>0.77950849718747373</v>
      </c>
      <c r="U3160">
        <v>0.77116307227332026</v>
      </c>
      <c r="V3160">
        <v>0.76352313834736496</v>
      </c>
      <c r="W3160">
        <v>0.75649458802128855</v>
      </c>
      <c r="X3160">
        <v>0.75</v>
      </c>
      <c r="Y3160">
        <v>0.7439750182371333</v>
      </c>
      <c r="Z3160">
        <v>0.73836564731139809</v>
      </c>
      <c r="AA3160">
        <v>0.73312620206007839</v>
      </c>
      <c r="AB3160">
        <v>0.72821773229381925</v>
      </c>
    </row>
    <row r="3161" spans="4:28">
      <c r="D3161">
        <v>0.54999999999999993</v>
      </c>
      <c r="E3161">
        <v>1.6726039399558572</v>
      </c>
      <c r="F3161" s="6">
        <v>1.32915619758885</v>
      </c>
      <c r="G3161" s="6">
        <v>1.1770032003863298</v>
      </c>
      <c r="H3161" s="6">
        <v>1.0863019699779286</v>
      </c>
      <c r="I3161" s="6">
        <v>1.0244044240850756</v>
      </c>
      <c r="J3161" s="6">
        <v>0.97871355387816905</v>
      </c>
      <c r="K3161" s="6">
        <v>0.94320263021395911</v>
      </c>
      <c r="L3161" s="6">
        <v>0.91457809879442498</v>
      </c>
      <c r="M3161" s="6">
        <v>0.89086797998528566</v>
      </c>
      <c r="N3161" s="6">
        <v>0.8708099243547831</v>
      </c>
      <c r="O3161" s="6">
        <v>0.85355339059327373</v>
      </c>
      <c r="P3161">
        <v>0.83850160019316489</v>
      </c>
      <c r="Q3161">
        <v>0.82522181779399539</v>
      </c>
      <c r="R3161">
        <v>0.81339158526400435</v>
      </c>
      <c r="S3161">
        <v>0.80276503540974908</v>
      </c>
      <c r="T3161">
        <v>0.7931509849889643</v>
      </c>
      <c r="U3161">
        <v>0.78439822949726046</v>
      </c>
      <c r="V3161">
        <v>0.77638539919628324</v>
      </c>
      <c r="W3161">
        <v>0.76901379342448517</v>
      </c>
      <c r="X3161">
        <v>0.7622022120425378</v>
      </c>
      <c r="Y3161">
        <v>0.75588315785957949</v>
      </c>
      <c r="Z3161">
        <v>0.75</v>
      </c>
      <c r="AA3161">
        <v>0.74450482346091285</v>
      </c>
      <c r="AB3161">
        <v>0.73935677693908453</v>
      </c>
    </row>
    <row r="3162" spans="4:28">
      <c r="D3162">
        <v>0.6</v>
      </c>
      <c r="E3162">
        <v>1.7247448713915889</v>
      </c>
      <c r="F3162" s="6">
        <v>1.3660254037844386</v>
      </c>
      <c r="G3162" s="6">
        <v>1.2071067811865475</v>
      </c>
      <c r="H3162" s="6">
        <v>1.1123724356957945</v>
      </c>
      <c r="I3162" s="6">
        <v>1.0477225575051661</v>
      </c>
      <c r="J3162" s="6">
        <v>1</v>
      </c>
      <c r="K3162" s="6">
        <v>0.96291004988627571</v>
      </c>
      <c r="L3162" s="6">
        <v>0.93301270189221919</v>
      </c>
      <c r="M3162" s="6">
        <v>0.90824829046386291</v>
      </c>
      <c r="N3162" s="6">
        <v>0.8872983346207417</v>
      </c>
      <c r="O3162" s="6">
        <v>0.8692744729379982</v>
      </c>
      <c r="P3162">
        <v>0.85355339059327373</v>
      </c>
      <c r="Q3162">
        <v>0.83968311024337872</v>
      </c>
      <c r="R3162">
        <v>0.82732683535398865</v>
      </c>
      <c r="S3162">
        <v>0.816227766016838</v>
      </c>
      <c r="T3162">
        <v>0.80618621784789724</v>
      </c>
      <c r="U3162">
        <v>0.79704426289300234</v>
      </c>
      <c r="V3162">
        <v>0.78867513459481287</v>
      </c>
      <c r="W3162">
        <v>0.78097574347450816</v>
      </c>
      <c r="X3162">
        <v>0.77386127875258304</v>
      </c>
      <c r="Y3162">
        <v>0.7672612419124244</v>
      </c>
      <c r="Z3162">
        <v>0.76111648393354669</v>
      </c>
      <c r="AA3162">
        <v>0.7553769592276246</v>
      </c>
      <c r="AB3162">
        <v>0.75</v>
      </c>
    </row>
    <row r="3163" spans="4:28">
      <c r="D3163">
        <v>0.65</v>
      </c>
      <c r="E3163">
        <v>1.7747548783981961</v>
      </c>
      <c r="F3163" s="6">
        <v>1.4013878188659974</v>
      </c>
      <c r="G3163" s="6">
        <v>1.2359800721939873</v>
      </c>
      <c r="H3163" s="6">
        <v>1.1373774391990981</v>
      </c>
      <c r="I3163" s="6">
        <v>1.0700877125495691</v>
      </c>
      <c r="J3163" s="6">
        <v>1.020416499866533</v>
      </c>
      <c r="K3163" s="6">
        <v>0.98181205582971587</v>
      </c>
      <c r="L3163" s="6">
        <v>0.9506939094329987</v>
      </c>
      <c r="M3163" s="6">
        <v>0.92491829279939863</v>
      </c>
      <c r="N3163" s="6">
        <v>0.90311288741492746</v>
      </c>
      <c r="O3163" s="6">
        <v>0.88435305739290371</v>
      </c>
      <c r="P3163">
        <v>0.86799003609699366</v>
      </c>
      <c r="Q3163">
        <v>0.85355339059327373</v>
      </c>
      <c r="R3163">
        <v>0.84069257193462343</v>
      </c>
      <c r="S3163">
        <v>0.82914029430219172</v>
      </c>
      <c r="T3163">
        <v>0.81868871959954903</v>
      </c>
      <c r="U3163">
        <v>0.80917347120042116</v>
      </c>
      <c r="V3163">
        <v>0.80046260628866572</v>
      </c>
      <c r="W3163">
        <v>0.79244882593280086</v>
      </c>
      <c r="X3163">
        <v>0.78504385627478457</v>
      </c>
      <c r="Y3163">
        <v>0.77817432013209342</v>
      </c>
      <c r="Z3163">
        <v>0.77177865325230455</v>
      </c>
      <c r="AA3163">
        <v>0.76580476653559748</v>
      </c>
      <c r="AB3163">
        <v>0.76020824993326663</v>
      </c>
    </row>
    <row r="3164" spans="4:28">
      <c r="D3164">
        <v>0.70000000000000007</v>
      </c>
      <c r="E3164">
        <v>1.8228756555322954</v>
      </c>
      <c r="F3164" s="6">
        <v>1.4354143466934852</v>
      </c>
      <c r="G3164" s="6">
        <v>1.2637626158259732</v>
      </c>
      <c r="H3164" s="6">
        <v>1.1614378277661477</v>
      </c>
      <c r="I3164" s="6">
        <v>1.0916079783099617</v>
      </c>
      <c r="J3164" s="6">
        <v>1.0400617248673216</v>
      </c>
      <c r="K3164" s="6">
        <v>1</v>
      </c>
      <c r="L3164" s="6">
        <v>0.96770717334674261</v>
      </c>
      <c r="M3164" s="6">
        <v>0.94095855184409838</v>
      </c>
      <c r="N3164" s="6">
        <v>0.91833001326703778</v>
      </c>
      <c r="O3164" s="6">
        <v>0.89886201760873274</v>
      </c>
      <c r="P3164">
        <v>0.88188130791298658</v>
      </c>
      <c r="Q3164">
        <v>0.86689969285267143</v>
      </c>
      <c r="R3164">
        <v>0.85355339059327373</v>
      </c>
      <c r="S3164">
        <v>0.84156502553198664</v>
      </c>
      <c r="T3164">
        <v>0.83071891388307384</v>
      </c>
      <c r="U3164">
        <v>0.82084447395987392</v>
      </c>
      <c r="V3164">
        <v>0.81180478223116181</v>
      </c>
      <c r="W3164">
        <v>0.80348848933344197</v>
      </c>
      <c r="X3164">
        <v>0.79580398915498085</v>
      </c>
      <c r="Y3164">
        <v>0.78867513459481287</v>
      </c>
      <c r="Z3164">
        <v>0.78203803740888311</v>
      </c>
      <c r="AA3164">
        <v>0.77583864218368526</v>
      </c>
      <c r="AB3164">
        <v>0.77003086243366092</v>
      </c>
    </row>
    <row r="3165" spans="4:28">
      <c r="D3165">
        <v>0.75000000000000011</v>
      </c>
      <c r="E3165">
        <v>1.8693063937629153</v>
      </c>
      <c r="F3165" s="6">
        <v>1.4682458365518543</v>
      </c>
      <c r="G3165" s="6">
        <v>1.290569415042095</v>
      </c>
      <c r="H3165" s="6">
        <v>1.1846531968814578</v>
      </c>
      <c r="I3165" s="6">
        <v>1.1123724356957947</v>
      </c>
      <c r="J3165" s="6">
        <v>1.0590169943749475</v>
      </c>
      <c r="K3165" s="6">
        <v>1.0175491695067658</v>
      </c>
      <c r="L3165" s="6">
        <v>0.98412291827592713</v>
      </c>
      <c r="M3165" s="6">
        <v>0.95643546458763851</v>
      </c>
      <c r="N3165" s="6">
        <v>0.93301270189221941</v>
      </c>
      <c r="O3165" s="6">
        <v>0.91286141192238524</v>
      </c>
      <c r="P3165">
        <v>0.8952847075210475</v>
      </c>
      <c r="Q3165">
        <v>0.87977726265637501</v>
      </c>
      <c r="R3165">
        <v>0.8659625273556999</v>
      </c>
      <c r="S3165">
        <v>0.85355339059327373</v>
      </c>
      <c r="T3165">
        <v>0.84232659844072888</v>
      </c>
      <c r="U3165">
        <v>0.83210558207753582</v>
      </c>
      <c r="V3165">
        <v>0.82274861218395146</v>
      </c>
      <c r="W3165">
        <v>0.81414043121877167</v>
      </c>
      <c r="X3165">
        <v>0.80618621784789735</v>
      </c>
      <c r="Y3165">
        <v>0.79880715233359845</v>
      </c>
      <c r="Z3165">
        <v>0.79193710406057116</v>
      </c>
      <c r="AA3165">
        <v>0.78552012036008034</v>
      </c>
      <c r="AB3165">
        <v>0.77950849718747373</v>
      </c>
    </row>
    <row r="3166" spans="4:28">
      <c r="D3166">
        <v>0.80000000000000016</v>
      </c>
      <c r="E3166">
        <v>1.9142135623730951</v>
      </c>
      <c r="F3166" s="6">
        <v>1.5</v>
      </c>
      <c r="G3166" s="6">
        <v>1.316496580927726</v>
      </c>
      <c r="H3166" s="6">
        <v>1.2071067811865475</v>
      </c>
      <c r="I3166" s="6">
        <v>1.132455532033676</v>
      </c>
      <c r="J3166" s="6">
        <v>1.0773502691896257</v>
      </c>
      <c r="K3166" s="6">
        <v>1.034522483824849</v>
      </c>
      <c r="L3166" s="6">
        <v>1</v>
      </c>
      <c r="M3166" s="6">
        <v>0.97140452079103168</v>
      </c>
      <c r="N3166" s="6">
        <v>0.94721359549995798</v>
      </c>
      <c r="O3166" s="6">
        <v>0.92640143271122088</v>
      </c>
      <c r="P3166">
        <v>0.90824829046386302</v>
      </c>
      <c r="Q3166">
        <v>0.89223227027636809</v>
      </c>
      <c r="R3166">
        <v>0.87796447300922731</v>
      </c>
      <c r="S3166">
        <v>0.86514837167011072</v>
      </c>
      <c r="T3166">
        <v>0.85355339059327373</v>
      </c>
      <c r="U3166">
        <v>0.84299717028501764</v>
      </c>
      <c r="V3166">
        <v>0.83333333333333337</v>
      </c>
      <c r="W3166">
        <v>0.82444284226152509</v>
      </c>
      <c r="X3166">
        <v>0.816227766016838</v>
      </c>
      <c r="Y3166">
        <v>0.80860669992418388</v>
      </c>
      <c r="Z3166">
        <v>0.80151134457776374</v>
      </c>
      <c r="AA3166">
        <v>0.79488391230979438</v>
      </c>
      <c r="AB3166">
        <v>0.78867513459481287</v>
      </c>
    </row>
    <row r="3167" spans="4:28">
      <c r="D3167">
        <v>0.8500000000000002</v>
      </c>
      <c r="E3167">
        <v>1.9577379737113252</v>
      </c>
      <c r="F3167" s="6">
        <v>1.5307764064044151</v>
      </c>
      <c r="G3167" s="6">
        <v>1.3416254115301731</v>
      </c>
      <c r="H3167" s="6">
        <v>1.2288689868556626</v>
      </c>
      <c r="I3167" s="6">
        <v>1.1519202405202651</v>
      </c>
      <c r="J3167" s="6">
        <v>1.0951190357119041</v>
      </c>
      <c r="K3167" s="6">
        <v>1.0509731650193399</v>
      </c>
      <c r="L3167" s="6">
        <v>1.0153882032022077</v>
      </c>
      <c r="M3167" s="6">
        <v>0.98591265790377514</v>
      </c>
      <c r="N3167" s="6">
        <v>0.96097722286464449</v>
      </c>
      <c r="O3167" s="6">
        <v>0.93952453649576628</v>
      </c>
      <c r="P3167">
        <v>0.92081270576508656</v>
      </c>
      <c r="Q3167">
        <v>0.90430377003132001</v>
      </c>
      <c r="R3167">
        <v>0.88959686123698978</v>
      </c>
      <c r="S3167">
        <v>0.87638632635454061</v>
      </c>
      <c r="T3167">
        <v>0.8644344934278313</v>
      </c>
      <c r="U3167">
        <v>0.85355339059327373</v>
      </c>
      <c r="V3167">
        <v>0.84359213546813838</v>
      </c>
      <c r="W3167">
        <v>0.83442802702996932</v>
      </c>
      <c r="X3167">
        <v>0.82596012026013255</v>
      </c>
      <c r="Y3167">
        <v>0.81810450514017596</v>
      </c>
      <c r="Z3167">
        <v>0.81079078025403062</v>
      </c>
      <c r="AA3167">
        <v>0.80395937943716445</v>
      </c>
      <c r="AB3167">
        <v>0.79755951785595214</v>
      </c>
    </row>
    <row r="3168" spans="4:28">
      <c r="D3168">
        <v>0.90000000000000024</v>
      </c>
      <c r="E3168">
        <v>2</v>
      </c>
      <c r="F3168" s="6">
        <v>1.5606601717798214</v>
      </c>
      <c r="G3168" s="6">
        <v>1.3660254037844388</v>
      </c>
      <c r="H3168" s="6">
        <v>1.25</v>
      </c>
      <c r="I3168" s="6">
        <v>1.170820393249937</v>
      </c>
      <c r="J3168" s="6">
        <v>1.1123724356957947</v>
      </c>
      <c r="K3168" s="6">
        <v>1.066946709513841</v>
      </c>
      <c r="L3168" s="6">
        <v>1.0303300858899105</v>
      </c>
      <c r="M3168" s="6">
        <v>1</v>
      </c>
      <c r="N3168" s="6">
        <v>0.974341649025257</v>
      </c>
      <c r="O3168" s="6">
        <v>0.9522670168666455</v>
      </c>
      <c r="P3168">
        <v>0.93301270189221941</v>
      </c>
      <c r="Q3168">
        <v>0.91602514716892192</v>
      </c>
      <c r="R3168">
        <v>0.90089186286863665</v>
      </c>
      <c r="S3168">
        <v>0.8872983346207417</v>
      </c>
      <c r="T3168">
        <v>0.875</v>
      </c>
      <c r="U3168">
        <v>0.86380343755449951</v>
      </c>
      <c r="V3168">
        <v>0.85355339059327384</v>
      </c>
      <c r="W3168">
        <v>0.8441236008058427</v>
      </c>
      <c r="X3168">
        <v>0.83541019662496852</v>
      </c>
      <c r="Y3168">
        <v>0.82732683535398865</v>
      </c>
      <c r="Z3168">
        <v>0.81980107453341566</v>
      </c>
      <c r="AA3168">
        <v>0.81277162108561218</v>
      </c>
      <c r="AB3168">
        <v>0.80618621784789735</v>
      </c>
    </row>
    <row r="3169" spans="4:28">
      <c r="D3169">
        <v>0.95000000000000029</v>
      </c>
      <c r="E3169">
        <v>2.0411035007422442</v>
      </c>
      <c r="F3169" s="6">
        <v>1.5897247358851685</v>
      </c>
      <c r="G3169" s="6">
        <v>1.3897565210026093</v>
      </c>
      <c r="H3169" s="6">
        <v>1.2705517503711221</v>
      </c>
      <c r="I3169" s="6">
        <v>1.1892024376045112</v>
      </c>
      <c r="J3169" s="6">
        <v>1.1291528696058959</v>
      </c>
      <c r="K3169" s="6">
        <v>1.0824823725107175</v>
      </c>
      <c r="L3169" s="6">
        <v>1.0448623679425841</v>
      </c>
      <c r="M3169" s="6">
        <v>1.0137011669140814</v>
      </c>
      <c r="N3169" s="6">
        <v>0.98733971724044833</v>
      </c>
      <c r="O3169" s="6">
        <v>0.96466018864229264</v>
      </c>
      <c r="P3169">
        <v>0.94487826050130463</v>
      </c>
      <c r="Q3169">
        <v>0.92742520713255527</v>
      </c>
      <c r="R3169">
        <v>0.91187723552395705</v>
      </c>
      <c r="S3169">
        <v>0.89791121287711073</v>
      </c>
      <c r="T3169">
        <v>0.88527587518556106</v>
      </c>
      <c r="U3169">
        <v>0.87377250079820112</v>
      </c>
      <c r="V3169">
        <v>0.86324157862838957</v>
      </c>
      <c r="W3169">
        <v>0.85355339059327384</v>
      </c>
      <c r="X3169">
        <v>0.84460121880225558</v>
      </c>
      <c r="Y3169">
        <v>0.83629635456727469</v>
      </c>
      <c r="Z3169">
        <v>0.82856437033638553</v>
      </c>
      <c r="AA3169">
        <v>0.82134229345857579</v>
      </c>
      <c r="AB3169">
        <v>0.81457643480294795</v>
      </c>
    </row>
    <row r="3170" spans="4:28">
      <c r="D3170">
        <v>1.0000000000000002</v>
      </c>
      <c r="E3170">
        <v>2.08113883008419</v>
      </c>
      <c r="F3170" s="6">
        <v>1.6180339887498949</v>
      </c>
      <c r="G3170" s="6">
        <v>1.412870929175277</v>
      </c>
      <c r="H3170" s="6">
        <v>1.290569415042095</v>
      </c>
      <c r="I3170" s="6">
        <v>1.2071067811865475</v>
      </c>
      <c r="J3170" s="6">
        <v>1.1454972243679027</v>
      </c>
      <c r="K3170" s="6">
        <v>1.0976143046671969</v>
      </c>
      <c r="L3170" s="6">
        <v>1.0590169943749475</v>
      </c>
      <c r="M3170" s="6">
        <v>1.0270462766947299</v>
      </c>
      <c r="N3170" s="6">
        <v>1</v>
      </c>
      <c r="O3170" s="6">
        <v>0.97673129462279618</v>
      </c>
      <c r="P3170">
        <v>0.95643546458763851</v>
      </c>
      <c r="Q3170">
        <v>0.9385290096535146</v>
      </c>
      <c r="R3170">
        <v>0.92257712736425834</v>
      </c>
      <c r="S3170">
        <v>0.90824829046386313</v>
      </c>
      <c r="T3170">
        <v>0.8952847075210475</v>
      </c>
      <c r="U3170">
        <v>0.88348249442368521</v>
      </c>
      <c r="V3170">
        <v>0.872677996249965</v>
      </c>
      <c r="W3170">
        <v>0.86273812505500591</v>
      </c>
      <c r="X3170">
        <v>0.85355339059327373</v>
      </c>
      <c r="Y3170">
        <v>0.84503277967117718</v>
      </c>
      <c r="Z3170">
        <v>0.83709993123162107</v>
      </c>
      <c r="AA3170">
        <v>0.82969023669789355</v>
      </c>
      <c r="AB3170">
        <v>0.82274861218395146</v>
      </c>
    </row>
    <row r="3171" spans="4:28">
      <c r="D3171">
        <v>1.0500000000000003</v>
      </c>
      <c r="E3171">
        <v>2.1201851746019651</v>
      </c>
      <c r="F3171" s="6">
        <v>1.6456439237389602</v>
      </c>
      <c r="G3171" s="6">
        <v>1.4354143466934854</v>
      </c>
      <c r="H3171" s="6">
        <v>1.3100925873009825</v>
      </c>
      <c r="I3171" s="6">
        <v>1.2245688373094721</v>
      </c>
      <c r="J3171" s="6">
        <v>1.1614378277661477</v>
      </c>
      <c r="K3171" s="6">
        <v>1.1123724356957947</v>
      </c>
      <c r="L3171" s="6">
        <v>1.0728219618694799</v>
      </c>
      <c r="M3171" s="6">
        <v>1.0400617248673218</v>
      </c>
      <c r="N3171" s="6">
        <v>1.0123475382979801</v>
      </c>
      <c r="O3171" s="6">
        <v>0.98850421045919723</v>
      </c>
      <c r="P3171">
        <v>0.96770717334674272</v>
      </c>
      <c r="Q3171">
        <v>0.94935851713645858</v>
      </c>
      <c r="R3171">
        <v>0.93301270189221941</v>
      </c>
      <c r="S3171">
        <v>0.91833001326703778</v>
      </c>
      <c r="T3171">
        <v>0.90504629365049127</v>
      </c>
      <c r="U3171">
        <v>0.89295262399668784</v>
      </c>
      <c r="V3171">
        <v>0.8818813079129868</v>
      </c>
      <c r="W3171">
        <v>0.87169597083751404</v>
      </c>
      <c r="X3171">
        <v>0.86228441865473604</v>
      </c>
      <c r="Y3171">
        <v>0.85355339059327384</v>
      </c>
      <c r="Z3171">
        <v>0.84542463985387872</v>
      </c>
      <c r="AA3171">
        <v>0.83783196234608814</v>
      </c>
      <c r="AB3171">
        <v>0.83071891388307384</v>
      </c>
    </row>
    <row r="3172" spans="4:28">
      <c r="D3172">
        <v>1.1000000000000003</v>
      </c>
      <c r="E3172">
        <v>2.1583123951776999</v>
      </c>
      <c r="F3172" s="6">
        <v>1.6726039399558574</v>
      </c>
      <c r="G3172" s="6">
        <v>1.4574271077563381</v>
      </c>
      <c r="H3172" s="6">
        <v>1.32915619758885</v>
      </c>
      <c r="I3172" s="6">
        <v>1.2416198487095664</v>
      </c>
      <c r="J3172" s="6">
        <v>1.1770032003863302</v>
      </c>
      <c r="K3172" s="6">
        <v>1.1267831705280087</v>
      </c>
      <c r="L3172" s="6">
        <v>1.0863019699779288</v>
      </c>
      <c r="M3172" s="6">
        <v>1.0527707983925667</v>
      </c>
      <c r="N3172" s="6">
        <v>1.0244044240850758</v>
      </c>
      <c r="O3172" s="6">
        <v>1</v>
      </c>
      <c r="P3172">
        <v>0.97871355387816905</v>
      </c>
      <c r="Q3172">
        <v>0.95993310550389999</v>
      </c>
      <c r="R3172">
        <v>0.94320263021395934</v>
      </c>
      <c r="S3172">
        <v>0.9281744192888377</v>
      </c>
      <c r="T3172">
        <v>0.91457809879442498</v>
      </c>
      <c r="U3172">
        <v>0.90219983326992192</v>
      </c>
      <c r="V3172">
        <v>0.89086797998528588</v>
      </c>
      <c r="W3172">
        <v>0.88044295512634108</v>
      </c>
      <c r="X3172">
        <v>0.87080992435478322</v>
      </c>
      <c r="Y3172">
        <v>0.86187343222787305</v>
      </c>
      <c r="Z3172">
        <v>0.85355339059327384</v>
      </c>
      <c r="AA3172">
        <v>0.84578203740406233</v>
      </c>
      <c r="AB3172">
        <v>0.83850160019316511</v>
      </c>
    </row>
    <row r="3173" spans="4:28">
      <c r="D3173">
        <v>1.1500000000000004</v>
      </c>
      <c r="E3173">
        <v>2.1955824957813173</v>
      </c>
      <c r="F3173" s="6">
        <v>1.69895788082818</v>
      </c>
      <c r="G3173" s="6">
        <v>1.478945010372561</v>
      </c>
      <c r="H3173" s="6">
        <v>1.3477912478906586</v>
      </c>
      <c r="I3173" s="6">
        <v>1.2582875444051553</v>
      </c>
      <c r="J3173" s="6">
        <v>1.1922186552431731</v>
      </c>
      <c r="K3173" s="6">
        <v>1.1408699444616559</v>
      </c>
      <c r="L3173" s="6">
        <v>1.0994789404140901</v>
      </c>
      <c r="M3173" s="6">
        <v>1.0651941652604391</v>
      </c>
      <c r="N3173" s="6">
        <v>1.0361902647381807</v>
      </c>
      <c r="O3173" s="6">
        <v>1.0112373581455452</v>
      </c>
      <c r="P3173">
        <v>0.98947250518628049</v>
      </c>
      <c r="Q3173">
        <v>0.97026997156298012</v>
      </c>
      <c r="R3173">
        <v>0.95316348358748293</v>
      </c>
      <c r="S3173">
        <v>0.93779751788545673</v>
      </c>
      <c r="T3173">
        <v>0.92389562394532931</v>
      </c>
      <c r="U3173">
        <v>0.9112391604149872</v>
      </c>
      <c r="V3173">
        <v>0.89965262694272674</v>
      </c>
      <c r="W3173">
        <v>0.88899330260774967</v>
      </c>
      <c r="X3173">
        <v>0.87914377220257767</v>
      </c>
      <c r="Y3173">
        <v>0.87000643495047747</v>
      </c>
      <c r="Z3173">
        <v>0.86149940274061065</v>
      </c>
      <c r="AA3173">
        <v>0.85355339059327384</v>
      </c>
      <c r="AB3173">
        <v>0.84610932762158653</v>
      </c>
    </row>
    <row r="3174" spans="4:28">
      <c r="D3174">
        <v>1.2000000000000004</v>
      </c>
      <c r="E3174">
        <v>2.2320508075688776</v>
      </c>
      <c r="F3174" s="6">
        <v>1.7247448713915892</v>
      </c>
      <c r="G3174" s="6">
        <v>1.5</v>
      </c>
      <c r="H3174" s="6">
        <v>1.3660254037844388</v>
      </c>
      <c r="I3174" s="6">
        <v>1.2745966692414834</v>
      </c>
      <c r="J3174" s="6">
        <v>1.2071067811865475</v>
      </c>
      <c r="K3174" s="6">
        <v>1.1546536707079773</v>
      </c>
      <c r="L3174" s="6">
        <v>1.1123724356957947</v>
      </c>
      <c r="M3174" s="6">
        <v>1.0773502691896257</v>
      </c>
      <c r="N3174" s="6">
        <v>1.0477225575051663</v>
      </c>
      <c r="O3174" s="6">
        <v>1.0222329678670936</v>
      </c>
      <c r="P3174">
        <v>1</v>
      </c>
      <c r="Q3174">
        <v>0.98038446141526148</v>
      </c>
      <c r="R3174">
        <v>0.96291004988627582</v>
      </c>
      <c r="S3174">
        <v>0.94721359549995809</v>
      </c>
      <c r="T3174">
        <v>0.93301270189221941</v>
      </c>
      <c r="U3174">
        <v>0.92008402520840304</v>
      </c>
      <c r="V3174">
        <v>0.90824829046386313</v>
      </c>
      <c r="W3174">
        <v>0.89735970711951318</v>
      </c>
      <c r="X3174">
        <v>0.8872983346207417</v>
      </c>
      <c r="Y3174">
        <v>0.87796447300922731</v>
      </c>
      <c r="Z3174">
        <v>0.86927447293799831</v>
      </c>
      <c r="AA3174">
        <v>0.86115755925730775</v>
      </c>
      <c r="AB3174">
        <v>0.85355339059327384</v>
      </c>
    </row>
    <row r="3175" spans="4:28">
      <c r="D3175">
        <v>1.2500000000000004</v>
      </c>
      <c r="E3175">
        <v>2.2677669529663689</v>
      </c>
      <c r="F3175" s="6">
        <v>1.7500000000000002</v>
      </c>
      <c r="G3175" s="6">
        <v>1.5206207261596576</v>
      </c>
      <c r="H3175" s="6">
        <v>1.3838834764831844</v>
      </c>
      <c r="I3175" s="6">
        <v>1.290569415042095</v>
      </c>
      <c r="J3175" s="6">
        <v>1.2216878364870323</v>
      </c>
      <c r="K3175" s="6">
        <v>1.1681531047810612</v>
      </c>
      <c r="L3175" s="6">
        <v>1.125</v>
      </c>
      <c r="M3175" s="6">
        <v>1.0892556509887896</v>
      </c>
      <c r="N3175" s="6">
        <v>1.0590169943749475</v>
      </c>
      <c r="O3175" s="6">
        <v>1.0330017908890263</v>
      </c>
      <c r="P3175">
        <v>1.0103103630798289</v>
      </c>
      <c r="Q3175">
        <v>0.99029033784546017</v>
      </c>
      <c r="R3175">
        <v>0.97245559126153414</v>
      </c>
      <c r="S3175">
        <v>0.95643546458763851</v>
      </c>
      <c r="T3175">
        <v>0.94194173824159222</v>
      </c>
      <c r="U3175">
        <v>0.92874646285627216</v>
      </c>
      <c r="V3175">
        <v>0.91666666666666674</v>
      </c>
      <c r="W3175">
        <v>0.90555355282690642</v>
      </c>
      <c r="X3175">
        <v>0.8952847075210475</v>
      </c>
      <c r="Y3175">
        <v>0.88575837490522991</v>
      </c>
      <c r="Z3175">
        <v>0.87688918072220456</v>
      </c>
      <c r="AA3175">
        <v>0.86860489038724298</v>
      </c>
      <c r="AB3175">
        <v>0.86084391824351614</v>
      </c>
    </row>
    <row r="3176" spans="4:28">
      <c r="D3176">
        <v>1.3000000000000005</v>
      </c>
      <c r="E3176">
        <v>2.3027756377319948</v>
      </c>
      <c r="F3176" s="6">
        <v>1.7747548783981963</v>
      </c>
      <c r="G3176" s="6">
        <v>1.5408329997330665</v>
      </c>
      <c r="H3176" s="6">
        <v>1.4013878188659974</v>
      </c>
      <c r="I3176" s="6">
        <v>1.3062257748298551</v>
      </c>
      <c r="J3176" s="6">
        <v>1.2359800721939873</v>
      </c>
      <c r="K3176" s="6">
        <v>1.1813851438692469</v>
      </c>
      <c r="L3176" s="6">
        <v>1.1373774391990983</v>
      </c>
      <c r="M3176" s="6">
        <v>1.1009252125773317</v>
      </c>
      <c r="N3176" s="6">
        <v>1.0700877125495691</v>
      </c>
      <c r="O3176" s="6">
        <v>1.0435573065046091</v>
      </c>
      <c r="P3176">
        <v>1.0204164998665333</v>
      </c>
      <c r="Q3176">
        <v>1</v>
      </c>
      <c r="R3176">
        <v>0.98181205582971587</v>
      </c>
      <c r="S3176">
        <v>0.96547466812563143</v>
      </c>
      <c r="T3176">
        <v>0.9506939094329987</v>
      </c>
      <c r="U3176">
        <v>0.93723731609760319</v>
      </c>
      <c r="V3176">
        <v>0.92491829279939886</v>
      </c>
      <c r="W3176">
        <v>0.91358509593425563</v>
      </c>
      <c r="X3176">
        <v>0.90311288741492757</v>
      </c>
      <c r="Y3176">
        <v>0.89339789623472177</v>
      </c>
      <c r="Z3176">
        <v>0.88435305739290371</v>
      </c>
      <c r="AA3176">
        <v>0.87590470577805624</v>
      </c>
      <c r="AB3176">
        <v>0.86799003609699366</v>
      </c>
    </row>
    <row r="3177" spans="4:28">
      <c r="D3177">
        <v>1.3500000000000005</v>
      </c>
      <c r="E3177">
        <v>2.3371173070873841</v>
      </c>
      <c r="F3177" s="6">
        <v>1.7990381056766582</v>
      </c>
      <c r="G3177" s="6">
        <v>1.5606601717798214</v>
      </c>
      <c r="H3177" s="6">
        <v>1.418558653543692</v>
      </c>
      <c r="I3177" s="6">
        <v>1.3215838362577492</v>
      </c>
      <c r="J3177" s="6">
        <v>1.25</v>
      </c>
      <c r="K3177" s="6">
        <v>1.1943650748294137</v>
      </c>
      <c r="L3177" s="6">
        <v>1.149519052838329</v>
      </c>
      <c r="M3177" s="6">
        <v>1.1123724356957947</v>
      </c>
      <c r="N3177" s="6">
        <v>1.0809475019311128</v>
      </c>
      <c r="O3177" s="6">
        <v>1.0539117094069974</v>
      </c>
      <c r="P3177">
        <v>1.0303300858899107</v>
      </c>
      <c r="Q3177">
        <v>1.0095246653650682</v>
      </c>
      <c r="R3177">
        <v>0.99099025303098298</v>
      </c>
      <c r="S3177">
        <v>0.974341649025257</v>
      </c>
      <c r="T3177">
        <v>0.95927932677184602</v>
      </c>
      <c r="U3177">
        <v>0.94556639433950351</v>
      </c>
      <c r="V3177">
        <v>0.93301270189221941</v>
      </c>
      <c r="W3177">
        <v>0.92146361521176234</v>
      </c>
      <c r="X3177">
        <v>0.91079191812887461</v>
      </c>
      <c r="Y3177">
        <v>0.90089186286863665</v>
      </c>
      <c r="Z3177">
        <v>0.89167472590032026</v>
      </c>
      <c r="AA3177">
        <v>0.88306543884143696</v>
      </c>
      <c r="AB3177">
        <v>0.875</v>
      </c>
    </row>
    <row r="3178" spans="4:28">
      <c r="D3178">
        <v>1.4000000000000006</v>
      </c>
      <c r="E3178">
        <v>2.3708286933869713</v>
      </c>
      <c r="F3178" s="6">
        <v>1.8228756555322956</v>
      </c>
      <c r="G3178" s="6">
        <v>1.5801234497346435</v>
      </c>
      <c r="H3178" s="6">
        <v>1.4354143466934857</v>
      </c>
      <c r="I3178" s="6">
        <v>1.3366600265340756</v>
      </c>
      <c r="J3178" s="6">
        <v>1.2637626158259734</v>
      </c>
      <c r="K3178" s="6">
        <v>1.2071067811865477</v>
      </c>
      <c r="L3178" s="6">
        <v>1.1614378277661477</v>
      </c>
      <c r="M3178" s="6">
        <v>1.1236095644623236</v>
      </c>
      <c r="N3178" s="6">
        <v>1.0916079783099617</v>
      </c>
      <c r="O3178" s="6">
        <v>1.0640760748177662</v>
      </c>
      <c r="P3178">
        <v>1.0400617248673218</v>
      </c>
      <c r="Q3178">
        <v>1.018874521662771</v>
      </c>
      <c r="R3178">
        <v>1</v>
      </c>
      <c r="S3178">
        <v>0.98304589153964805</v>
      </c>
      <c r="T3178">
        <v>0.96770717334674283</v>
      </c>
      <c r="U3178">
        <v>0.95374260648651521</v>
      </c>
      <c r="V3178">
        <v>0.9409585518440986</v>
      </c>
      <c r="W3178">
        <v>0.9291975376394761</v>
      </c>
      <c r="X3178">
        <v>0.91833001326703778</v>
      </c>
      <c r="Y3178">
        <v>0.90824829046386313</v>
      </c>
      <c r="Z3178">
        <v>0.89886201760873297</v>
      </c>
      <c r="AA3178">
        <v>0.89009474880274708</v>
      </c>
      <c r="AB3178">
        <v>0.8818813079129868</v>
      </c>
    </row>
    <row r="3179" spans="4:28">
      <c r="D3179">
        <v>1.4500000000000006</v>
      </c>
      <c r="E3179">
        <v>2.4039432764659772</v>
      </c>
      <c r="F3179" s="6">
        <v>1.8462912017836262</v>
      </c>
      <c r="G3179" s="6">
        <v>1.59924216318941</v>
      </c>
      <c r="H3179" s="6">
        <v>1.4519716382329886</v>
      </c>
      <c r="I3179" s="6">
        <v>1.3514693182963202</v>
      </c>
      <c r="J3179" s="6">
        <v>1.2772815877574013</v>
      </c>
      <c r="K3179" s="6">
        <v>1.2196229171289246</v>
      </c>
      <c r="L3179" s="6">
        <v>1.1731456008918131</v>
      </c>
      <c r="M3179" s="6">
        <v>1.1346477588219925</v>
      </c>
      <c r="N3179" s="6">
        <v>1.1020797289396149</v>
      </c>
      <c r="O3179" s="6">
        <v>1.0740604972870496</v>
      </c>
      <c r="P3179">
        <v>1.0496210815947049</v>
      </c>
      <c r="Q3179">
        <v>1.0280588545286917</v>
      </c>
      <c r="R3179">
        <v>1.0088502445991074</v>
      </c>
      <c r="S3179">
        <v>0.99159604012508762</v>
      </c>
      <c r="T3179">
        <v>0.97598581911649429</v>
      </c>
      <c r="U3179">
        <v>0.96177407259139958</v>
      </c>
      <c r="V3179">
        <v>0.94876373392787539</v>
      </c>
      <c r="W3179">
        <v>0.93679454401836404</v>
      </c>
      <c r="X3179">
        <v>0.92573465914816011</v>
      </c>
      <c r="Y3179">
        <v>0.91547448491940842</v>
      </c>
      <c r="Z3179">
        <v>0.90592207044299444</v>
      </c>
      <c r="AA3179">
        <v>0.89699961669021044</v>
      </c>
      <c r="AB3179">
        <v>0.88864079387870065</v>
      </c>
    </row>
    <row r="3180" spans="4:28">
      <c r="D3180">
        <v>1.5000000000000007</v>
      </c>
      <c r="E3180">
        <v>2.436491673103709</v>
      </c>
      <c r="F3180" s="6">
        <v>1.8693063937629155</v>
      </c>
      <c r="G3180" s="6">
        <v>1.6180339887498951</v>
      </c>
      <c r="H3180" s="6">
        <v>1.4682458365518545</v>
      </c>
      <c r="I3180" s="6">
        <v>1.3660254037844388</v>
      </c>
      <c r="J3180" s="6">
        <v>1.290569415042095</v>
      </c>
      <c r="K3180" s="6">
        <v>1.2319250547114002</v>
      </c>
      <c r="L3180" s="6">
        <v>1.1846531968814578</v>
      </c>
      <c r="M3180" s="6">
        <v>1.1454972243679029</v>
      </c>
      <c r="N3180" s="6">
        <v>1.1123724356957947</v>
      </c>
      <c r="O3180" s="6">
        <v>1.0838742081211423</v>
      </c>
      <c r="P3180">
        <v>1.0590169943749475</v>
      </c>
      <c r="Q3180">
        <v>1.0370861555295749</v>
      </c>
      <c r="R3180">
        <v>1.0175491695067658</v>
      </c>
      <c r="S3180">
        <v>1</v>
      </c>
      <c r="T3180">
        <v>0.98412291827592724</v>
      </c>
      <c r="U3180">
        <v>0.9696682183138623</v>
      </c>
      <c r="V3180">
        <v>0.95643546458763851</v>
      </c>
      <c r="W3180">
        <v>0.9442616583193193</v>
      </c>
      <c r="X3180">
        <v>0.93301270189221941</v>
      </c>
      <c r="Y3180">
        <v>0.92257712736425845</v>
      </c>
      <c r="Z3180">
        <v>0.91286141192238535</v>
      </c>
      <c r="AA3180">
        <v>0.90378642654362418</v>
      </c>
      <c r="AB3180">
        <v>0.8952847075210475</v>
      </c>
    </row>
    <row r="3181" spans="4:28">
      <c r="D3181">
        <v>1.5500000000000007</v>
      </c>
      <c r="E3181">
        <v>2.4685019685029532</v>
      </c>
      <c r="F3181" s="6">
        <v>1.8919410907075058</v>
      </c>
      <c r="G3181" s="6">
        <v>1.6365151414154882</v>
      </c>
      <c r="H3181" s="6">
        <v>1.4842509842514766</v>
      </c>
      <c r="I3181" s="6">
        <v>1.3803408430829507</v>
      </c>
      <c r="J3181" s="6">
        <v>1.3036375634160797</v>
      </c>
      <c r="K3181" s="6">
        <v>1.244023809142845</v>
      </c>
      <c r="L3181" s="6">
        <v>1.1959705453537528</v>
      </c>
      <c r="M3181" s="6">
        <v>1.1561673228343177</v>
      </c>
      <c r="N3181" s="6">
        <v>1.1224949798994368</v>
      </c>
      <c r="O3181" s="6">
        <v>1.0935256753272999</v>
      </c>
      <c r="P3181">
        <v>1.0682575707077442</v>
      </c>
      <c r="Q3181">
        <v>1.045964214099169</v>
      </c>
      <c r="R3181">
        <v>1.0261042808091514</v>
      </c>
      <c r="S3181">
        <v>1.0082650227325636</v>
      </c>
      <c r="T3181">
        <v>0.99212549212573831</v>
      </c>
      <c r="U3181">
        <v>0.97743185531611565</v>
      </c>
      <c r="V3181">
        <v>0.96398036356916861</v>
      </c>
      <c r="W3181">
        <v>0.95160532372975049</v>
      </c>
      <c r="X3181">
        <v>0.94017042154147534</v>
      </c>
      <c r="Y3181">
        <v>0.92956234649211233</v>
      </c>
      <c r="Z3181">
        <v>0.91968602983225889</v>
      </c>
      <c r="AA3181">
        <v>0.91046103453259153</v>
      </c>
      <c r="AB3181">
        <v>0.90181878170803986</v>
      </c>
    </row>
    <row r="3182" spans="4:28">
      <c r="D3182">
        <v>1.6000000000000008</v>
      </c>
      <c r="E3182">
        <v>2.5000000000000004</v>
      </c>
      <c r="F3182" s="6">
        <v>1.9142135623730954</v>
      </c>
      <c r="G3182" s="6">
        <v>1.6547005383792517</v>
      </c>
      <c r="H3182" s="6">
        <v>1.5000000000000002</v>
      </c>
      <c r="I3182" s="6">
        <v>1.3944271909999162</v>
      </c>
      <c r="J3182" s="6">
        <v>1.3164965809277263</v>
      </c>
      <c r="K3182" s="6">
        <v>1.2559289460184546</v>
      </c>
      <c r="L3182" s="6">
        <v>1.2071067811865475</v>
      </c>
      <c r="M3182" s="6">
        <v>1.1666666666666667</v>
      </c>
      <c r="N3182" s="6">
        <v>1.132455532033676</v>
      </c>
      <c r="O3182" s="6">
        <v>1.1030226891555275</v>
      </c>
      <c r="P3182">
        <v>1.0773502691896257</v>
      </c>
      <c r="Q3182">
        <v>1.0547001962252294</v>
      </c>
      <c r="R3182">
        <v>1.034522483824849</v>
      </c>
      <c r="S3182">
        <v>1.0163977794943224</v>
      </c>
      <c r="T3182">
        <v>1</v>
      </c>
      <c r="U3182">
        <v>0.98507125007266605</v>
      </c>
      <c r="V3182">
        <v>0.97140452079103179</v>
      </c>
      <c r="W3182">
        <v>0.9588314677411236</v>
      </c>
      <c r="X3182">
        <v>0.94721359549995809</v>
      </c>
      <c r="Y3182">
        <v>0.93643578047198495</v>
      </c>
      <c r="Z3182">
        <v>0.926401432711221</v>
      </c>
      <c r="AA3182">
        <v>0.91702882811414965</v>
      </c>
      <c r="AB3182">
        <v>0.90824829046386313</v>
      </c>
    </row>
    <row r="3183" spans="4:28">
      <c r="D3183">
        <v>1.6500000000000008</v>
      </c>
      <c r="E3183">
        <v>2.5310096011589907</v>
      </c>
      <c r="F3183" s="6">
        <v>1.9361406616345074</v>
      </c>
      <c r="G3183" s="6">
        <v>1.6726039399558577</v>
      </c>
      <c r="H3183" s="6">
        <v>1.5155048005794953</v>
      </c>
      <c r="I3183" s="6">
        <v>1.4082951062292477</v>
      </c>
      <c r="J3183" s="6">
        <v>1.32915619758885</v>
      </c>
      <c r="K3183" s="6">
        <v>1.2676494735787387</v>
      </c>
      <c r="L3183" s="6">
        <v>1.2180703308172536</v>
      </c>
      <c r="M3183" s="6">
        <v>1.1770032003863302</v>
      </c>
      <c r="N3183" s="6">
        <v>1.1422616289332566</v>
      </c>
      <c r="O3183" s="6">
        <v>1.1123724356957947</v>
      </c>
      <c r="P3183">
        <v>1.0863019699779288</v>
      </c>
      <c r="Q3183">
        <v>1.063300712149108</v>
      </c>
      <c r="R3183">
        <v>1.0428101483418097</v>
      </c>
      <c r="S3183">
        <v>1.024404424085076</v>
      </c>
      <c r="T3183">
        <v>1.0077524002897476</v>
      </c>
      <c r="U3183">
        <v>0.99259218307188912</v>
      </c>
      <c r="V3183">
        <v>0.97871355387816927</v>
      </c>
      <c r="W3183">
        <v>0.96594555814804672</v>
      </c>
      <c r="X3183">
        <v>0.95414755311462385</v>
      </c>
      <c r="Y3183">
        <v>0.94320263021395934</v>
      </c>
      <c r="Z3183">
        <v>0.93301270189221941</v>
      </c>
      <c r="AA3183">
        <v>0.92349477692996007</v>
      </c>
      <c r="AB3183">
        <v>0.91457809879442509</v>
      </c>
    </row>
    <row r="3184" spans="4:28">
      <c r="D3184">
        <v>1.7000000000000008</v>
      </c>
      <c r="E3184">
        <v>2.5615528128088307</v>
      </c>
      <c r="F3184" s="6">
        <v>1.9577379737113254</v>
      </c>
      <c r="G3184" s="6">
        <v>1.6902380714238086</v>
      </c>
      <c r="H3184" s="6">
        <v>1.5307764064044154</v>
      </c>
      <c r="I3184" s="6">
        <v>1.421954445729289</v>
      </c>
      <c r="J3184" s="6">
        <v>1.3416254115301733</v>
      </c>
      <c r="K3184" s="6">
        <v>1.2791937224739798</v>
      </c>
      <c r="L3184" s="6">
        <v>1.2288689868556626</v>
      </c>
      <c r="M3184" s="6">
        <v>1.1871842709362768</v>
      </c>
      <c r="N3184" s="6">
        <v>1.1519202405202651</v>
      </c>
      <c r="O3184" s="6">
        <v>1.1215815605080612</v>
      </c>
      <c r="P3184">
        <v>1.0951190357119043</v>
      </c>
      <c r="Q3184">
        <v>1.0717718748968657</v>
      </c>
      <c r="R3184">
        <v>1.0509731650193399</v>
      </c>
      <c r="S3184">
        <v>1.0322906474223772</v>
      </c>
      <c r="T3184">
        <v>1.0153882032022077</v>
      </c>
      <c r="U3184">
        <v>1</v>
      </c>
      <c r="V3184">
        <v>0.98591265790377514</v>
      </c>
      <c r="W3184">
        <v>0.97295265146345877</v>
      </c>
      <c r="X3184">
        <v>0.96097722286464449</v>
      </c>
      <c r="Y3184">
        <v>0.94986770542121879</v>
      </c>
      <c r="Z3184">
        <v>0.93952453649576639</v>
      </c>
      <c r="AA3184">
        <v>0.92986347681054771</v>
      </c>
      <c r="AB3184">
        <v>0.92081270576508667</v>
      </c>
    </row>
    <row r="3185" spans="4:28">
      <c r="D3185">
        <v>1.7500000000000009</v>
      </c>
      <c r="E3185">
        <v>2.5916500663351894</v>
      </c>
      <c r="F3185" s="6">
        <v>1.9790199457749043</v>
      </c>
      <c r="G3185" s="6">
        <v>1.7076147288491201</v>
      </c>
      <c r="H3185" s="6">
        <v>1.5458250331675947</v>
      </c>
      <c r="I3185" s="6">
        <v>1.4354143466934857</v>
      </c>
      <c r="J3185" s="6">
        <v>1.3539125638299667</v>
      </c>
      <c r="K3185" s="6">
        <v>1.290569415042095</v>
      </c>
      <c r="L3185" s="6">
        <v>1.2395099728874521</v>
      </c>
      <c r="M3185" s="6">
        <v>1.1972166887783964</v>
      </c>
      <c r="N3185" s="6">
        <v>1.1614378277661479</v>
      </c>
      <c r="O3185" s="6">
        <v>1.1306562238868914</v>
      </c>
      <c r="P3185">
        <v>1.1038073644245601</v>
      </c>
      <c r="Q3185">
        <v>1.0801193511153215</v>
      </c>
      <c r="R3185">
        <v>1.0590169943749475</v>
      </c>
      <c r="S3185">
        <v>1.0400617248673218</v>
      </c>
      <c r="T3185">
        <v>1.0229125165837973</v>
      </c>
      <c r="U3185">
        <v>1.0072996561958925</v>
      </c>
      <c r="V3185">
        <v>0.99300664859163479</v>
      </c>
      <c r="W3185">
        <v>0.97985743496869671</v>
      </c>
      <c r="X3185">
        <v>0.96770717334674283</v>
      </c>
      <c r="Y3185">
        <v>0.95643546458763862</v>
      </c>
      <c r="Z3185">
        <v>0.94594129250792247</v>
      </c>
      <c r="AA3185">
        <v>0.93613918799432361</v>
      </c>
      <c r="AB3185">
        <v>0.92695628191498336</v>
      </c>
    </row>
    <row r="3186" spans="4:28">
      <c r="D3186">
        <v>1.8000000000000009</v>
      </c>
      <c r="E3186">
        <v>2.6213203435596428</v>
      </c>
      <c r="F3186" s="6">
        <v>2</v>
      </c>
      <c r="G3186" s="6">
        <v>1.7247448713915892</v>
      </c>
      <c r="H3186" s="6">
        <v>1.5606601717798214</v>
      </c>
      <c r="I3186" s="6">
        <v>1.448683298050514</v>
      </c>
      <c r="J3186" s="6">
        <v>1.3660254037844388</v>
      </c>
      <c r="K3186" s="6">
        <v>1.3017837257372733</v>
      </c>
      <c r="L3186" s="6">
        <v>1.25</v>
      </c>
      <c r="M3186" s="6">
        <v>1.2071067811865477</v>
      </c>
      <c r="N3186" s="6">
        <v>1.170820393249937</v>
      </c>
      <c r="O3186" s="6">
        <v>1.1396021490668313</v>
      </c>
      <c r="P3186">
        <v>1.1123724356957947</v>
      </c>
      <c r="Q3186">
        <v>1.0883484054145522</v>
      </c>
      <c r="R3186">
        <v>1.066946709513841</v>
      </c>
      <c r="S3186">
        <v>1.0477225575051663</v>
      </c>
      <c r="T3186">
        <v>1.0303300858899107</v>
      </c>
      <c r="U3186">
        <v>1.0144957554275267</v>
      </c>
      <c r="V3186">
        <v>1.0000000000000002</v>
      </c>
      <c r="W3186">
        <v>0.98666426339228774</v>
      </c>
      <c r="X3186">
        <v>0.974341649025257</v>
      </c>
      <c r="Y3186">
        <v>0.96291004988627593</v>
      </c>
      <c r="Z3186">
        <v>0.95226701686664561</v>
      </c>
      <c r="AA3186">
        <v>0.94232586846469157</v>
      </c>
      <c r="AB3186">
        <v>0.93301270189221941</v>
      </c>
    </row>
    <row r="3187" spans="4:28">
      <c r="D3187">
        <v>1.850000000000001</v>
      </c>
      <c r="E3187">
        <v>2.6505813167606571</v>
      </c>
      <c r="F3187" s="6">
        <v>2.0206906325745555</v>
      </c>
      <c r="G3187" s="6">
        <v>1.7416387021459452</v>
      </c>
      <c r="H3187" s="6">
        <v>1.5752906583803286</v>
      </c>
      <c r="I3187" s="6">
        <v>1.4617692030835676</v>
      </c>
      <c r="J3187" s="6">
        <v>1.3779711460710617</v>
      </c>
      <c r="K3187" s="6">
        <v>1.312843334052932</v>
      </c>
      <c r="L3187" s="6">
        <v>1.2603453162872778</v>
      </c>
      <c r="M3187" s="6">
        <v>1.2168604389202189</v>
      </c>
      <c r="N3187" s="6">
        <v>1.1800735254367725</v>
      </c>
      <c r="O3187" s="6">
        <v>1.1484246644403231</v>
      </c>
      <c r="P3187">
        <v>1.1208193510729725</v>
      </c>
      <c r="Q3187">
        <v>1.096463939202724</v>
      </c>
      <c r="R3187">
        <v>1.0747670335511104</v>
      </c>
      <c r="S3187">
        <v>1.0552777082985896</v>
      </c>
      <c r="T3187">
        <v>1.0376453291901644</v>
      </c>
      <c r="U3187">
        <v>1.0215925838520059</v>
      </c>
      <c r="V3187">
        <v>1.0068968775248517</v>
      </c>
      <c r="W3187">
        <v>0.99337719103296518</v>
      </c>
      <c r="X3187">
        <v>0.98088460154178381</v>
      </c>
      <c r="Y3187">
        <v>0.9692953177244531</v>
      </c>
      <c r="Z3187">
        <v>0.9585054773143642</v>
      </c>
      <c r="AA3187">
        <v>0.94842720314644069</v>
      </c>
      <c r="AB3187">
        <v>0.93898557303553098</v>
      </c>
    </row>
    <row r="3188" spans="4:28">
      <c r="D3188">
        <v>1.900000000000001</v>
      </c>
      <c r="E3188">
        <v>2.6794494717703374</v>
      </c>
      <c r="F3188" s="6">
        <v>2.0411035007422447</v>
      </c>
      <c r="G3188" s="6">
        <v>1.7583057392117918</v>
      </c>
      <c r="H3188" s="6">
        <v>1.5897247358851687</v>
      </c>
      <c r="I3188" s="6">
        <v>1.4746794344808967</v>
      </c>
      <c r="J3188" s="6">
        <v>1.3897565210026093</v>
      </c>
      <c r="K3188" s="6">
        <v>1.3237544710479141</v>
      </c>
      <c r="L3188" s="6">
        <v>1.2705517503711223</v>
      </c>
      <c r="M3188" s="6">
        <v>1.2264831572567791</v>
      </c>
      <c r="N3188" s="6">
        <v>1.1892024376045112</v>
      </c>
      <c r="O3188" s="6">
        <v>1.1571287406727711</v>
      </c>
      <c r="P3188">
        <v>1.1291528696058959</v>
      </c>
      <c r="Q3188">
        <v>1.104470524826989</v>
      </c>
      <c r="R3188">
        <v>1.0824823725107175</v>
      </c>
      <c r="S3188">
        <v>1.062731433871138</v>
      </c>
      <c r="T3188">
        <v>1.0448623679425844</v>
      </c>
      <c r="U3188">
        <v>1.0285941398709246</v>
      </c>
      <c r="V3188">
        <v>1.0137011669140814</v>
      </c>
      <c r="W3188">
        <v>1.0000000000000002</v>
      </c>
      <c r="X3188">
        <v>0.98733971724044833</v>
      </c>
      <c r="Y3188">
        <v>0.9755948656056711</v>
      </c>
      <c r="Z3188">
        <v>0.96466018864229275</v>
      </c>
      <c r="AA3188">
        <v>0.95444662957319304</v>
      </c>
      <c r="AB3188">
        <v>0.94487826050130475</v>
      </c>
    </row>
    <row r="3189" spans="4:28">
      <c r="D3189">
        <v>1.9500000000000011</v>
      </c>
      <c r="E3189">
        <v>2.7079402165819624</v>
      </c>
      <c r="F3189" s="6">
        <v>2.0612494995996</v>
      </c>
      <c r="G3189" s="6">
        <v>1.7747548783981966</v>
      </c>
      <c r="H3189" s="6">
        <v>1.6039701082909812</v>
      </c>
      <c r="I3189" s="6">
        <v>1.4874208829065751</v>
      </c>
      <c r="J3189" s="6">
        <v>1.4013878188659974</v>
      </c>
      <c r="K3189" s="6">
        <v>1.3345229603962805</v>
      </c>
      <c r="L3189" s="6">
        <v>1.2806247497998</v>
      </c>
      <c r="M3189" s="6">
        <v>1.2359800721939873</v>
      </c>
      <c r="N3189" s="6">
        <v>1.1982120021884473</v>
      </c>
      <c r="O3189" s="6">
        <v>1.1657190234489461</v>
      </c>
      <c r="P3189">
        <v>1.1373774391990983</v>
      </c>
      <c r="Q3189">
        <v>1.1123724356957947</v>
      </c>
      <c r="R3189">
        <v>1.0900968443520824</v>
      </c>
      <c r="S3189">
        <v>1.0700877125495691</v>
      </c>
      <c r="T3189">
        <v>1.0519850541454905</v>
      </c>
      <c r="U3189">
        <v>1.0355041604715627</v>
      </c>
      <c r="V3189">
        <v>1.0204164998665335</v>
      </c>
      <c r="W3189">
        <v>1.0065362251294778</v>
      </c>
      <c r="X3189">
        <v>0.99371044145328757</v>
      </c>
      <c r="Y3189">
        <v>0.98181205582971587</v>
      </c>
      <c r="Z3189">
        <v>0.97073443584563601</v>
      </c>
      <c r="AA3189">
        <v>0.9603873605336386</v>
      </c>
      <c r="AB3189">
        <v>0.95069390943299881</v>
      </c>
    </row>
    <row r="3190" spans="4:28">
      <c r="D3190">
        <v>2.0000000000000009</v>
      </c>
      <c r="E3190">
        <v>2.7360679774997902</v>
      </c>
      <c r="F3190" s="6">
        <v>2.08113883008419</v>
      </c>
      <c r="G3190" s="6">
        <v>1.7909944487358058</v>
      </c>
      <c r="H3190" s="6">
        <v>1.6180339887498951</v>
      </c>
      <c r="I3190" s="6">
        <v>1.5000000000000002</v>
      </c>
      <c r="J3190" s="6">
        <v>1.412870929175277</v>
      </c>
      <c r="K3190" s="6">
        <v>1.3451542547285169</v>
      </c>
      <c r="L3190" s="6">
        <v>1.290569415042095</v>
      </c>
      <c r="M3190" s="6">
        <v>1.24535599249993</v>
      </c>
      <c r="N3190" s="6">
        <v>1.2071067811865477</v>
      </c>
      <c r="O3190" s="6">
        <v>1.1741998624632421</v>
      </c>
      <c r="P3190">
        <v>1.1454972243679029</v>
      </c>
      <c r="Q3190">
        <v>1.1201736729460423</v>
      </c>
      <c r="R3190">
        <v>1.0976143046671969</v>
      </c>
      <c r="S3190">
        <v>1.0773502691896257</v>
      </c>
      <c r="T3190">
        <v>1.0590169943749475</v>
      </c>
      <c r="U3190">
        <v>1.0423261445466405</v>
      </c>
      <c r="V3190">
        <v>1.0270462766947301</v>
      </c>
      <c r="W3190">
        <v>1.0129891760425771</v>
      </c>
      <c r="X3190">
        <v>1</v>
      </c>
      <c r="Y3190">
        <v>0.98795003647426682</v>
      </c>
      <c r="Z3190">
        <v>0.97673129462279629</v>
      </c>
      <c r="AA3190">
        <v>0.966252404120157</v>
      </c>
      <c r="AB3190">
        <v>0.95643546458763851</v>
      </c>
    </row>
    <row r="3194" spans="4:28">
      <c r="D3194" t="s">
        <v>106</v>
      </c>
      <c r="E3194" s="1">
        <f>COUNT(E3203:BG3203)</f>
        <v>21</v>
      </c>
      <c r="G3194" s="31" t="s">
        <v>384</v>
      </c>
      <c r="H3194" s="25">
        <v>100</v>
      </c>
      <c r="K3194" s="31" t="s">
        <v>394</v>
      </c>
      <c r="L3194" s="31" t="s">
        <v>395</v>
      </c>
      <c r="M3194" s="31" t="s">
        <v>396</v>
      </c>
      <c r="N3194" s="31" t="s">
        <v>397</v>
      </c>
      <c r="P3194" s="1" t="s">
        <v>398</v>
      </c>
      <c r="S3194" s="1" t="s">
        <v>403</v>
      </c>
      <c r="U3194" s="1" t="s">
        <v>407</v>
      </c>
      <c r="V3194" s="1" t="s">
        <v>7</v>
      </c>
      <c r="X3194" s="1" t="s">
        <v>408</v>
      </c>
      <c r="Y3194" s="4">
        <v>300</v>
      </c>
    </row>
    <row r="3195" spans="4:28">
      <c r="D3195" t="s">
        <v>107</v>
      </c>
      <c r="E3195" s="1">
        <f>COUNT(D3204:D3304)</f>
        <v>81</v>
      </c>
      <c r="G3195" s="31" t="s">
        <v>386</v>
      </c>
      <c r="H3195" s="25">
        <v>-150</v>
      </c>
      <c r="J3195" s="31" t="s">
        <v>390</v>
      </c>
      <c r="K3195" s="25">
        <v>255</v>
      </c>
      <c r="L3195" s="25">
        <v>0</v>
      </c>
      <c r="M3195" s="25">
        <v>0</v>
      </c>
      <c r="N3195" s="25">
        <v>0.9</v>
      </c>
      <c r="P3195" s="1" t="s">
        <v>399</v>
      </c>
      <c r="Q3195" s="4">
        <v>600</v>
      </c>
      <c r="S3195" s="1" t="s">
        <v>2</v>
      </c>
      <c r="T3195" s="4" t="s">
        <v>424</v>
      </c>
      <c r="U3195" s="4">
        <v>-2000</v>
      </c>
      <c r="V3195" s="4">
        <v>-400</v>
      </c>
      <c r="X3195" s="1" t="s">
        <v>409</v>
      </c>
      <c r="Y3195" s="4">
        <v>20</v>
      </c>
    </row>
    <row r="3196" spans="4:28">
      <c r="D3196" t="s">
        <v>383</v>
      </c>
      <c r="E3196" s="4" t="s">
        <v>423</v>
      </c>
      <c r="G3196" s="31" t="s">
        <v>385</v>
      </c>
      <c r="H3196" s="25">
        <v>300</v>
      </c>
      <c r="J3196" s="31" t="s">
        <v>391</v>
      </c>
      <c r="K3196" s="25">
        <v>255</v>
      </c>
      <c r="L3196" s="25">
        <v>255</v>
      </c>
      <c r="M3196" s="25">
        <v>0</v>
      </c>
      <c r="P3196" s="1" t="s">
        <v>400</v>
      </c>
      <c r="Q3196" s="4">
        <v>-6000</v>
      </c>
      <c r="S3196" s="1" t="s">
        <v>3</v>
      </c>
      <c r="T3196" s="4" t="s">
        <v>425</v>
      </c>
      <c r="U3196" s="4">
        <v>200</v>
      </c>
      <c r="V3196" s="4">
        <v>600</v>
      </c>
      <c r="X3196" s="1" t="s">
        <v>419</v>
      </c>
      <c r="Y3196" s="4">
        <v>-500</v>
      </c>
    </row>
    <row r="3197" spans="4:28">
      <c r="D3197" s="1" t="s">
        <v>436</v>
      </c>
      <c r="E3197" s="4">
        <v>0</v>
      </c>
      <c r="G3197" s="31" t="s">
        <v>387</v>
      </c>
      <c r="H3197" s="25">
        <v>0</v>
      </c>
      <c r="J3197" s="31" t="s">
        <v>392</v>
      </c>
      <c r="K3197" s="25">
        <v>0</v>
      </c>
      <c r="L3197" s="25">
        <v>255</v>
      </c>
      <c r="M3197" s="25">
        <v>0</v>
      </c>
      <c r="N3197" s="25">
        <v>1.1000000000000001</v>
      </c>
      <c r="P3197" s="1" t="s">
        <v>401</v>
      </c>
      <c r="Q3197" s="4">
        <v>200</v>
      </c>
      <c r="S3197" s="1" t="s">
        <v>404</v>
      </c>
      <c r="T3197" s="4" t="s">
        <v>405</v>
      </c>
      <c r="U3197" s="4">
        <v>0</v>
      </c>
      <c r="V3197" s="4">
        <v>0</v>
      </c>
      <c r="X3197" s="1" t="s">
        <v>418</v>
      </c>
      <c r="Y3197" s="4">
        <v>50</v>
      </c>
    </row>
    <row r="3198" spans="4:28">
      <c r="D3198" s="1" t="s">
        <v>406</v>
      </c>
      <c r="E3198" s="4">
        <v>1</v>
      </c>
      <c r="G3198" s="31" t="s">
        <v>388</v>
      </c>
      <c r="H3198" s="25">
        <v>1000</v>
      </c>
      <c r="J3198" s="31" t="s">
        <v>393</v>
      </c>
      <c r="K3198" s="25">
        <v>0</v>
      </c>
      <c r="L3198" s="25">
        <v>0</v>
      </c>
      <c r="M3198" s="25">
        <v>0</v>
      </c>
      <c r="P3198" s="1" t="s">
        <v>402</v>
      </c>
      <c r="Q3198" s="4">
        <v>1500</v>
      </c>
      <c r="S3198" s="1" t="s">
        <v>389</v>
      </c>
      <c r="T3198" s="4" t="s">
        <v>421</v>
      </c>
      <c r="U3198" s="4">
        <v>3500</v>
      </c>
      <c r="V3198" s="4">
        <v>100</v>
      </c>
      <c r="X3198" s="1" t="s">
        <v>420</v>
      </c>
      <c r="Y3198" s="4">
        <v>600</v>
      </c>
    </row>
    <row r="3199" spans="4:28">
      <c r="D3199" s="1" t="s">
        <v>415</v>
      </c>
      <c r="E3199" s="4">
        <v>1</v>
      </c>
      <c r="G3199" s="31"/>
      <c r="H3199" s="25"/>
      <c r="J3199" s="31" t="s">
        <v>437</v>
      </c>
      <c r="K3199" s="25"/>
      <c r="L3199" s="25" t="s">
        <v>444</v>
      </c>
      <c r="M3199" s="25"/>
      <c r="P3199" s="1"/>
      <c r="Q3199" s="4"/>
      <c r="S3199" s="1" t="s">
        <v>411</v>
      </c>
      <c r="T3199" s="4">
        <v>12</v>
      </c>
      <c r="V3199" s="4"/>
      <c r="X3199" s="1" t="s">
        <v>426</v>
      </c>
      <c r="Y3199" s="4">
        <v>450</v>
      </c>
    </row>
    <row r="3200" spans="4:28">
      <c r="D3200" s="1" t="s">
        <v>416</v>
      </c>
      <c r="E3200" s="4">
        <v>200</v>
      </c>
      <c r="G3200" s="31"/>
      <c r="H3200" s="25"/>
      <c r="J3200" s="31" t="s">
        <v>430</v>
      </c>
      <c r="K3200" s="25"/>
      <c r="L3200" s="25" t="s">
        <v>443</v>
      </c>
      <c r="M3200" s="25"/>
      <c r="P3200" s="1"/>
      <c r="Q3200" s="4"/>
      <c r="S3200" s="1" t="s">
        <v>412</v>
      </c>
      <c r="T3200" s="4">
        <v>0.25</v>
      </c>
      <c r="U3200" s="1" t="s">
        <v>410</v>
      </c>
      <c r="V3200" s="4"/>
      <c r="Y3200" s="4"/>
    </row>
    <row r="3201" spans="4:25">
      <c r="D3201" s="1" t="s">
        <v>417</v>
      </c>
      <c r="E3201" s="4">
        <v>6400</v>
      </c>
      <c r="G3201" s="31"/>
      <c r="H3201" s="25"/>
      <c r="J3201" s="31" t="s">
        <v>435</v>
      </c>
      <c r="K3201" s="25"/>
      <c r="L3201" s="25" t="s">
        <v>445</v>
      </c>
      <c r="M3201" s="25"/>
      <c r="P3201" s="1"/>
      <c r="Q3201" s="4"/>
      <c r="S3201" s="1" t="s">
        <v>413</v>
      </c>
      <c r="T3201" s="4">
        <v>2</v>
      </c>
      <c r="U3201" s="4">
        <v>0</v>
      </c>
      <c r="V3201" s="4"/>
      <c r="X3201" s="1"/>
      <c r="Y3201" s="4"/>
    </row>
    <row r="3202" spans="4:25">
      <c r="G3202" s="31"/>
      <c r="H3202" s="25"/>
      <c r="J3202" s="31"/>
      <c r="K3202" s="25"/>
      <c r="L3202" s="25"/>
      <c r="M3202" s="25"/>
      <c r="P3202" s="1"/>
      <c r="Q3202" s="4"/>
      <c r="S3202" s="1" t="s">
        <v>414</v>
      </c>
      <c r="T3202" s="4">
        <v>1</v>
      </c>
      <c r="U3202" s="4">
        <v>0</v>
      </c>
      <c r="V3202" s="4"/>
      <c r="X3202" s="1"/>
      <c r="Y3202" s="4"/>
    </row>
    <row r="3203" spans="4:25">
      <c r="D3203" s="5"/>
      <c r="E3203">
        <v>0</v>
      </c>
      <c r="F3203" s="6">
        <v>0.5</v>
      </c>
      <c r="G3203" s="6">
        <v>1</v>
      </c>
      <c r="H3203" s="6">
        <v>1.4999999999999982</v>
      </c>
      <c r="I3203" s="6">
        <v>1.9999999999999982</v>
      </c>
      <c r="J3203" s="6">
        <v>2.4999999999999982</v>
      </c>
      <c r="K3203" s="6">
        <v>2.9999999999999991</v>
      </c>
      <c r="L3203" s="6">
        <v>3.4999999999999991</v>
      </c>
      <c r="M3203" s="6">
        <v>3.9999999999999991</v>
      </c>
      <c r="N3203" s="6">
        <v>4.4999999999999991</v>
      </c>
      <c r="O3203" s="6">
        <v>4.9999999999999991</v>
      </c>
      <c r="P3203">
        <v>5.4999999999999991</v>
      </c>
      <c r="Q3203">
        <v>5.9999999999999991</v>
      </c>
      <c r="R3203">
        <v>6.5</v>
      </c>
      <c r="S3203">
        <v>7</v>
      </c>
      <c r="T3203">
        <v>7.5</v>
      </c>
      <c r="U3203">
        <v>8</v>
      </c>
      <c r="V3203">
        <v>8.5</v>
      </c>
      <c r="W3203">
        <v>9</v>
      </c>
      <c r="X3203">
        <v>9.5</v>
      </c>
      <c r="Y3203">
        <v>10</v>
      </c>
    </row>
    <row r="3204" spans="4:25">
      <c r="D3204">
        <v>0</v>
      </c>
      <c r="E3204">
        <v>0.84329452398451965</v>
      </c>
      <c r="F3204" s="6">
        <v>0.78867513459481287</v>
      </c>
      <c r="G3204" s="6">
        <v>0.74274588585366175</v>
      </c>
      <c r="H3204" s="6">
        <v>0.70412414523193145</v>
      </c>
      <c r="I3204" s="6">
        <v>0.67164726199225977</v>
      </c>
      <c r="J3204" s="6">
        <v>0.64433756729740643</v>
      </c>
      <c r="K3204" s="6">
        <v>0.62137294292683087</v>
      </c>
      <c r="L3204" s="6">
        <v>0.60206207261596578</v>
      </c>
      <c r="M3204" s="6">
        <v>0.58582363099612988</v>
      </c>
      <c r="N3204" s="6">
        <v>0.57216878364870316</v>
      </c>
      <c r="O3204" s="6">
        <v>0.56068647146341544</v>
      </c>
      <c r="P3204">
        <v>0.55103103630798289</v>
      </c>
      <c r="Q3204">
        <v>0.54291181549806489</v>
      </c>
      <c r="R3204">
        <v>0.53608439182435164</v>
      </c>
      <c r="S3204">
        <v>0.53034323573170772</v>
      </c>
      <c r="T3204">
        <v>0.52551551815399145</v>
      </c>
      <c r="U3204">
        <v>0.5214559077490325</v>
      </c>
      <c r="V3204">
        <v>0.51804219591217582</v>
      </c>
      <c r="W3204">
        <v>0.51517161786585386</v>
      </c>
      <c r="X3204">
        <v>0.51275775907699572</v>
      </c>
      <c r="Y3204">
        <v>0.51072795387451619</v>
      </c>
    </row>
    <row r="3205" spans="4:25">
      <c r="D3205">
        <v>0.5</v>
      </c>
      <c r="E3205">
        <v>0.90824829046386302</v>
      </c>
      <c r="F3205" s="6">
        <v>0.84329452398451965</v>
      </c>
      <c r="G3205" s="6">
        <v>0.78867513459481287</v>
      </c>
      <c r="H3205" s="6">
        <v>0.74274588585366175</v>
      </c>
      <c r="I3205" s="6">
        <v>0.70412414523193145</v>
      </c>
      <c r="J3205" s="6">
        <v>0.67164726199225977</v>
      </c>
      <c r="K3205" s="6">
        <v>0.64433756729740643</v>
      </c>
      <c r="L3205" s="6">
        <v>0.62137294292683087</v>
      </c>
      <c r="M3205" s="6">
        <v>0.60206207261596578</v>
      </c>
      <c r="N3205" s="6">
        <v>0.58582363099612988</v>
      </c>
      <c r="O3205" s="6">
        <v>0.57216878364870316</v>
      </c>
      <c r="P3205">
        <v>0.56068647146341544</v>
      </c>
      <c r="Q3205">
        <v>0.55103103630798289</v>
      </c>
      <c r="R3205">
        <v>0.54291181549806489</v>
      </c>
      <c r="S3205">
        <v>0.53608439182435164</v>
      </c>
      <c r="T3205">
        <v>0.53034323573170772</v>
      </c>
      <c r="U3205">
        <v>0.52551551815399145</v>
      </c>
      <c r="V3205">
        <v>0.5214559077490325</v>
      </c>
      <c r="W3205">
        <v>0.51804219591217582</v>
      </c>
      <c r="X3205">
        <v>0.51517161786585386</v>
      </c>
      <c r="Y3205">
        <v>0.51275775907699572</v>
      </c>
    </row>
    <row r="3206" spans="4:25">
      <c r="D3206">
        <v>1</v>
      </c>
      <c r="E3206">
        <v>0.98549177170732349</v>
      </c>
      <c r="F3206" s="6">
        <v>0.90824829046386313</v>
      </c>
      <c r="G3206" s="6">
        <v>0.84329452398451965</v>
      </c>
      <c r="H3206" s="6">
        <v>0.78867513459481287</v>
      </c>
      <c r="I3206" s="6">
        <v>0.74274588585366175</v>
      </c>
      <c r="J3206" s="6">
        <v>0.70412414523193145</v>
      </c>
      <c r="K3206" s="6">
        <v>0.67164726199225977</v>
      </c>
      <c r="L3206" s="6">
        <v>0.64433756729740643</v>
      </c>
      <c r="M3206" s="6">
        <v>0.62137294292683087</v>
      </c>
      <c r="N3206" s="6">
        <v>0.60206207261596578</v>
      </c>
      <c r="O3206" s="6">
        <v>0.58582363099612988</v>
      </c>
      <c r="P3206">
        <v>0.57216878364870316</v>
      </c>
      <c r="Q3206">
        <v>0.56068647146341544</v>
      </c>
      <c r="R3206">
        <v>0.55103103630798289</v>
      </c>
      <c r="S3206">
        <v>0.54291181549806489</v>
      </c>
      <c r="T3206">
        <v>0.53608439182435164</v>
      </c>
      <c r="U3206">
        <v>0.53034323573170772</v>
      </c>
      <c r="V3206">
        <v>0.52551551815399145</v>
      </c>
      <c r="W3206">
        <v>0.5214559077490325</v>
      </c>
      <c r="X3206">
        <v>0.51804219591217582</v>
      </c>
      <c r="Y3206">
        <v>0.51517161786585386</v>
      </c>
    </row>
    <row r="3207" spans="4:25">
      <c r="D3207">
        <v>1.4999999999999982</v>
      </c>
      <c r="E3207">
        <v>1.0773502691896257</v>
      </c>
      <c r="F3207" s="6">
        <v>0.98549177170732349</v>
      </c>
      <c r="G3207" s="6">
        <v>0.90824829046386313</v>
      </c>
      <c r="H3207" s="6">
        <v>0.84329452398451965</v>
      </c>
      <c r="I3207" s="6">
        <v>0.78867513459481287</v>
      </c>
      <c r="J3207" s="6">
        <v>0.74274588585366175</v>
      </c>
      <c r="K3207" s="6">
        <v>0.70412414523193156</v>
      </c>
      <c r="L3207" s="6">
        <v>0.67164726199225977</v>
      </c>
      <c r="M3207" s="6">
        <v>0.64433756729740643</v>
      </c>
      <c r="N3207" s="6">
        <v>0.62137294292683087</v>
      </c>
      <c r="O3207" s="6">
        <v>0.60206207261596578</v>
      </c>
      <c r="P3207">
        <v>0.58582363099612988</v>
      </c>
      <c r="Q3207">
        <v>0.57216878364870316</v>
      </c>
      <c r="R3207">
        <v>0.56068647146341544</v>
      </c>
      <c r="S3207">
        <v>0.55103103630798289</v>
      </c>
      <c r="T3207">
        <v>0.54291181549806489</v>
      </c>
      <c r="U3207">
        <v>0.53608439182435164</v>
      </c>
      <c r="V3207">
        <v>0.53034323573170772</v>
      </c>
      <c r="W3207">
        <v>0.52551551815399145</v>
      </c>
      <c r="X3207">
        <v>0.5214559077490325</v>
      </c>
      <c r="Y3207">
        <v>0.51804219591217582</v>
      </c>
    </row>
    <row r="3208" spans="4:25">
      <c r="D3208">
        <v>1.9999999999999982</v>
      </c>
      <c r="E3208">
        <v>1.1865890479690395</v>
      </c>
      <c r="F3208" s="6">
        <v>1.0773502691896257</v>
      </c>
      <c r="G3208" s="6">
        <v>0.98549177170732349</v>
      </c>
      <c r="H3208" s="6">
        <v>0.90824829046386302</v>
      </c>
      <c r="I3208" s="6">
        <v>0.84329452398451965</v>
      </c>
      <c r="J3208" s="6">
        <v>0.78867513459481287</v>
      </c>
      <c r="K3208" s="6">
        <v>0.74274588585366175</v>
      </c>
      <c r="L3208" s="6">
        <v>0.70412414523193156</v>
      </c>
      <c r="M3208" s="6">
        <v>0.67164726199225977</v>
      </c>
      <c r="N3208" s="6">
        <v>0.64433756729740643</v>
      </c>
      <c r="O3208" s="6">
        <v>0.62137294292683087</v>
      </c>
      <c r="P3208">
        <v>0.60206207261596578</v>
      </c>
      <c r="Q3208">
        <v>0.58582363099612988</v>
      </c>
      <c r="R3208">
        <v>0.57216878364870316</v>
      </c>
      <c r="S3208">
        <v>0.56068647146341544</v>
      </c>
      <c r="T3208">
        <v>0.55103103630798289</v>
      </c>
      <c r="U3208">
        <v>0.54291181549806489</v>
      </c>
      <c r="V3208">
        <v>0.53608439182435164</v>
      </c>
      <c r="W3208">
        <v>0.53034323573170772</v>
      </c>
      <c r="X3208">
        <v>0.52551551815399145</v>
      </c>
      <c r="Y3208">
        <v>0.5214559077490325</v>
      </c>
    </row>
    <row r="3209" spans="4:25">
      <c r="D3209">
        <v>2.4999999999999982</v>
      </c>
      <c r="E3209">
        <v>1.3164965809277263</v>
      </c>
      <c r="F3209" s="6">
        <v>1.1865890479690395</v>
      </c>
      <c r="G3209" s="6">
        <v>1.0773502691896257</v>
      </c>
      <c r="H3209" s="6">
        <v>0.98549177170732349</v>
      </c>
      <c r="I3209" s="6">
        <v>0.90824829046386302</v>
      </c>
      <c r="J3209" s="6">
        <v>0.84329452398451965</v>
      </c>
      <c r="K3209" s="6">
        <v>0.78867513459481287</v>
      </c>
      <c r="L3209" s="6">
        <v>0.74274588585366175</v>
      </c>
      <c r="M3209" s="6">
        <v>0.70412414523193145</v>
      </c>
      <c r="N3209" s="6">
        <v>0.67164726199225977</v>
      </c>
      <c r="O3209" s="6">
        <v>0.64433756729740643</v>
      </c>
      <c r="P3209">
        <v>0.62137294292683087</v>
      </c>
      <c r="Q3209">
        <v>0.60206207261596578</v>
      </c>
      <c r="R3209">
        <v>0.58582363099612988</v>
      </c>
      <c r="S3209">
        <v>0.57216878364870316</v>
      </c>
      <c r="T3209">
        <v>0.56068647146341544</v>
      </c>
      <c r="U3209">
        <v>0.55103103630798289</v>
      </c>
      <c r="V3209">
        <v>0.54291181549806489</v>
      </c>
      <c r="W3209">
        <v>0.53608439182435164</v>
      </c>
      <c r="X3209">
        <v>0.53034323573170772</v>
      </c>
      <c r="Y3209">
        <v>0.52551551815399145</v>
      </c>
    </row>
    <row r="3210" spans="4:25">
      <c r="D3210">
        <v>2.9999999999999991</v>
      </c>
      <c r="E3210">
        <v>1.470983543414647</v>
      </c>
      <c r="F3210" s="6">
        <v>1.3164965809277263</v>
      </c>
      <c r="G3210" s="6">
        <v>1.1865890479690395</v>
      </c>
      <c r="H3210" s="6">
        <v>1.0773502691896257</v>
      </c>
      <c r="I3210" s="6">
        <v>0.98549177170732349</v>
      </c>
      <c r="J3210" s="6">
        <v>0.90824829046386302</v>
      </c>
      <c r="K3210" s="6">
        <v>0.84329452398451965</v>
      </c>
      <c r="L3210" s="6">
        <v>0.78867513459481287</v>
      </c>
      <c r="M3210" s="6">
        <v>0.74274588585366175</v>
      </c>
      <c r="N3210" s="6">
        <v>0.70412414523193156</v>
      </c>
      <c r="O3210" s="6">
        <v>0.67164726199225977</v>
      </c>
      <c r="P3210">
        <v>0.64433756729740643</v>
      </c>
      <c r="Q3210">
        <v>0.62137294292683087</v>
      </c>
      <c r="R3210">
        <v>0.60206207261596578</v>
      </c>
      <c r="S3210">
        <v>0.58582363099612988</v>
      </c>
      <c r="T3210">
        <v>0.57216878364870316</v>
      </c>
      <c r="U3210">
        <v>0.56068647146341544</v>
      </c>
      <c r="V3210">
        <v>0.55103103630798289</v>
      </c>
      <c r="W3210">
        <v>0.54291181549806489</v>
      </c>
      <c r="X3210">
        <v>0.53608439182435164</v>
      </c>
      <c r="Y3210">
        <v>0.53034323573170772</v>
      </c>
    </row>
    <row r="3211" spans="4:25">
      <c r="D3211">
        <v>3.4999999999999991</v>
      </c>
      <c r="E3211">
        <v>1.6547005383792519</v>
      </c>
      <c r="F3211" s="6">
        <v>1.4709835434146472</v>
      </c>
      <c r="G3211" s="6">
        <v>1.3164965809277263</v>
      </c>
      <c r="H3211" s="6">
        <v>1.1865890479690395</v>
      </c>
      <c r="I3211" s="6">
        <v>1.0773502691896257</v>
      </c>
      <c r="J3211" s="6">
        <v>0.98549177170732349</v>
      </c>
      <c r="K3211" s="6">
        <v>0.90824829046386313</v>
      </c>
      <c r="L3211" s="6">
        <v>0.84329452398451965</v>
      </c>
      <c r="M3211" s="6">
        <v>0.78867513459481287</v>
      </c>
      <c r="N3211" s="6">
        <v>0.74274588585366175</v>
      </c>
      <c r="O3211" s="6">
        <v>0.70412414523193145</v>
      </c>
      <c r="P3211">
        <v>0.67164726199225977</v>
      </c>
      <c r="Q3211">
        <v>0.64433756729740643</v>
      </c>
      <c r="R3211">
        <v>0.62137294292683087</v>
      </c>
      <c r="S3211">
        <v>0.60206207261596578</v>
      </c>
      <c r="T3211">
        <v>0.58582363099612988</v>
      </c>
      <c r="U3211">
        <v>0.57216878364870316</v>
      </c>
      <c r="V3211">
        <v>0.56068647146341544</v>
      </c>
      <c r="W3211">
        <v>0.55103103630798289</v>
      </c>
      <c r="X3211">
        <v>0.54291181549806489</v>
      </c>
      <c r="Y3211">
        <v>0.53608439182435164</v>
      </c>
    </row>
    <row r="3212" spans="4:25">
      <c r="D3212">
        <v>3.9999999999999991</v>
      </c>
      <c r="E3212">
        <v>1.8731780959380788</v>
      </c>
      <c r="F3212" s="6">
        <v>1.6547005383792519</v>
      </c>
      <c r="G3212" s="6">
        <v>1.470983543414647</v>
      </c>
      <c r="H3212" s="6">
        <v>1.3164965809277263</v>
      </c>
      <c r="I3212" s="6">
        <v>1.1865890479690395</v>
      </c>
      <c r="J3212" s="6">
        <v>1.0773502691896257</v>
      </c>
      <c r="K3212" s="6">
        <v>0.98549177170732349</v>
      </c>
      <c r="L3212" s="6">
        <v>0.90824829046386313</v>
      </c>
      <c r="M3212" s="6">
        <v>0.84329452398451965</v>
      </c>
      <c r="N3212" s="6">
        <v>0.78867513459481287</v>
      </c>
      <c r="O3212" s="6">
        <v>0.74274588585366175</v>
      </c>
      <c r="P3212">
        <v>0.70412414523193145</v>
      </c>
      <c r="Q3212">
        <v>0.67164726199225977</v>
      </c>
      <c r="R3212">
        <v>0.64433756729740643</v>
      </c>
      <c r="S3212">
        <v>0.62137294292683087</v>
      </c>
      <c r="T3212">
        <v>0.60206207261596578</v>
      </c>
      <c r="U3212">
        <v>0.58582363099612988</v>
      </c>
      <c r="V3212">
        <v>0.57216878364870316</v>
      </c>
      <c r="W3212">
        <v>0.56068647146341544</v>
      </c>
      <c r="X3212">
        <v>0.55103103630798289</v>
      </c>
      <c r="Y3212">
        <v>0.54291181549806489</v>
      </c>
    </row>
    <row r="3213" spans="4:25">
      <c r="D3213">
        <v>4.4999999999999991</v>
      </c>
      <c r="E3213">
        <v>2.1329931618554525</v>
      </c>
      <c r="F3213" s="6">
        <v>1.873178095938079</v>
      </c>
      <c r="G3213" s="6">
        <v>1.6547005383792519</v>
      </c>
      <c r="H3213" s="6">
        <v>1.470983543414647</v>
      </c>
      <c r="I3213" s="6">
        <v>1.3164965809277263</v>
      </c>
      <c r="J3213" s="6">
        <v>1.1865890479690395</v>
      </c>
      <c r="K3213" s="6">
        <v>1.0773502691896257</v>
      </c>
      <c r="L3213" s="6">
        <v>0.98549177170732349</v>
      </c>
      <c r="M3213" s="6">
        <v>0.90824829046386302</v>
      </c>
      <c r="N3213" s="6">
        <v>0.84329452398451965</v>
      </c>
      <c r="O3213" s="6">
        <v>0.78867513459481287</v>
      </c>
      <c r="P3213">
        <v>0.74274588585366175</v>
      </c>
      <c r="Q3213">
        <v>0.70412414523193145</v>
      </c>
      <c r="R3213">
        <v>0.67164726199225977</v>
      </c>
      <c r="S3213">
        <v>0.64433756729740643</v>
      </c>
      <c r="T3213">
        <v>0.62137294292683087</v>
      </c>
      <c r="U3213">
        <v>0.60206207261596578</v>
      </c>
      <c r="V3213">
        <v>0.58582363099612988</v>
      </c>
      <c r="W3213">
        <v>0.57216878364870316</v>
      </c>
      <c r="X3213">
        <v>0.56068647146341544</v>
      </c>
      <c r="Y3213">
        <v>0.55103103630798289</v>
      </c>
    </row>
    <row r="3214" spans="4:25">
      <c r="D3214">
        <v>4.9999999999999991</v>
      </c>
      <c r="E3214">
        <v>2.4419670868292944</v>
      </c>
      <c r="F3214" s="6">
        <v>2.1329931618554525</v>
      </c>
      <c r="G3214" s="6">
        <v>1.873178095938079</v>
      </c>
      <c r="H3214" s="6">
        <v>1.6547005383792519</v>
      </c>
      <c r="I3214" s="6">
        <v>1.470983543414647</v>
      </c>
      <c r="J3214" s="6">
        <v>1.3164965809277263</v>
      </c>
      <c r="K3214" s="6">
        <v>1.1865890479690395</v>
      </c>
      <c r="L3214" s="6">
        <v>1.0773502691896257</v>
      </c>
      <c r="M3214" s="6">
        <v>0.98549177170732349</v>
      </c>
      <c r="N3214" s="6">
        <v>0.90824829046386313</v>
      </c>
      <c r="O3214" s="6">
        <v>0.84329452398451965</v>
      </c>
      <c r="P3214">
        <v>0.78867513459481287</v>
      </c>
      <c r="Q3214">
        <v>0.74274588585366175</v>
      </c>
      <c r="R3214">
        <v>0.70412414523193145</v>
      </c>
      <c r="S3214">
        <v>0.67164726199225977</v>
      </c>
      <c r="T3214">
        <v>0.64433756729740643</v>
      </c>
      <c r="U3214">
        <v>0.62137294292683087</v>
      </c>
      <c r="V3214">
        <v>0.60206207261596578</v>
      </c>
      <c r="W3214">
        <v>0.58582363099612988</v>
      </c>
      <c r="X3214">
        <v>0.57216878364870316</v>
      </c>
      <c r="Y3214">
        <v>0.56068647146341544</v>
      </c>
    </row>
    <row r="3215" spans="4:25">
      <c r="D3215">
        <v>5.4999999999999991</v>
      </c>
      <c r="E3215">
        <v>2.8094010767585038</v>
      </c>
      <c r="F3215" s="6">
        <v>2.4419670868292949</v>
      </c>
      <c r="G3215" s="6">
        <v>2.1329931618554525</v>
      </c>
      <c r="H3215" s="6">
        <v>1.873178095938079</v>
      </c>
      <c r="I3215" s="6">
        <v>1.6547005383792517</v>
      </c>
      <c r="J3215" s="6">
        <v>1.470983543414647</v>
      </c>
      <c r="K3215" s="6">
        <v>1.3164965809277263</v>
      </c>
      <c r="L3215" s="6">
        <v>1.1865890479690395</v>
      </c>
      <c r="M3215" s="6">
        <v>1.0773502691896257</v>
      </c>
      <c r="N3215" s="6">
        <v>0.98549177170732349</v>
      </c>
      <c r="O3215" s="6">
        <v>0.90824829046386302</v>
      </c>
      <c r="P3215">
        <v>0.84329452398451965</v>
      </c>
      <c r="Q3215">
        <v>0.78867513459481287</v>
      </c>
      <c r="R3215">
        <v>0.74274588585366175</v>
      </c>
      <c r="S3215">
        <v>0.70412414523193145</v>
      </c>
      <c r="T3215">
        <v>0.67164726199225977</v>
      </c>
      <c r="U3215">
        <v>0.64433756729740643</v>
      </c>
      <c r="V3215">
        <v>0.62137294292683087</v>
      </c>
      <c r="W3215">
        <v>0.60206207261596578</v>
      </c>
      <c r="X3215">
        <v>0.58582363099612988</v>
      </c>
      <c r="Y3215">
        <v>0.57216878364870316</v>
      </c>
    </row>
    <row r="3216" spans="4:25">
      <c r="D3216">
        <v>5.9999999999999991</v>
      </c>
      <c r="E3216">
        <v>3.2463561918761581</v>
      </c>
      <c r="F3216" s="6">
        <v>2.8094010767585043</v>
      </c>
      <c r="G3216" s="6">
        <v>2.4419670868292949</v>
      </c>
      <c r="H3216" s="6">
        <v>2.1329931618554525</v>
      </c>
      <c r="I3216" s="6">
        <v>1.8731780959380788</v>
      </c>
      <c r="J3216" s="6">
        <v>1.6547005383792519</v>
      </c>
      <c r="K3216" s="6">
        <v>1.470983543414647</v>
      </c>
      <c r="L3216" s="6">
        <v>1.3164965809277263</v>
      </c>
      <c r="M3216" s="6">
        <v>1.1865890479690395</v>
      </c>
      <c r="N3216" s="6">
        <v>1.0773502691896257</v>
      </c>
      <c r="O3216" s="6">
        <v>0.98549177170732349</v>
      </c>
      <c r="P3216">
        <v>0.90824829046386302</v>
      </c>
      <c r="Q3216">
        <v>0.84329452398451965</v>
      </c>
      <c r="R3216">
        <v>0.78867513459481287</v>
      </c>
      <c r="S3216">
        <v>0.74274588585366175</v>
      </c>
      <c r="T3216">
        <v>0.70412414523193145</v>
      </c>
      <c r="U3216">
        <v>0.67164726199225977</v>
      </c>
      <c r="V3216">
        <v>0.64433756729740643</v>
      </c>
      <c r="W3216">
        <v>0.62137294292683087</v>
      </c>
      <c r="X3216">
        <v>0.60206207261596578</v>
      </c>
      <c r="Y3216">
        <v>0.58582363099612988</v>
      </c>
    </row>
    <row r="3217" spans="4:25">
      <c r="D3217">
        <v>6.5</v>
      </c>
      <c r="E3217">
        <v>3.7659863237109059</v>
      </c>
      <c r="F3217" s="6">
        <v>3.2463561918761585</v>
      </c>
      <c r="G3217" s="6">
        <v>2.8094010767585043</v>
      </c>
      <c r="H3217" s="6">
        <v>2.4419670868292949</v>
      </c>
      <c r="I3217" s="6">
        <v>2.1329931618554525</v>
      </c>
      <c r="J3217" s="6">
        <v>1.873178095938079</v>
      </c>
      <c r="K3217" s="6">
        <v>1.6547005383792519</v>
      </c>
      <c r="L3217" s="6">
        <v>1.4709835434146472</v>
      </c>
      <c r="M3217" s="6">
        <v>1.3164965809277263</v>
      </c>
      <c r="N3217" s="6">
        <v>1.1865890479690395</v>
      </c>
      <c r="O3217" s="6">
        <v>1.0773502691896257</v>
      </c>
      <c r="P3217">
        <v>0.98549177170732349</v>
      </c>
      <c r="Q3217">
        <v>0.90824829046386302</v>
      </c>
      <c r="R3217">
        <v>0.84329452398451965</v>
      </c>
      <c r="S3217">
        <v>0.78867513459481287</v>
      </c>
      <c r="T3217">
        <v>0.74274588585366175</v>
      </c>
      <c r="U3217">
        <v>0.70412414523193145</v>
      </c>
      <c r="V3217">
        <v>0.67164726199225977</v>
      </c>
      <c r="W3217">
        <v>0.64433756729740643</v>
      </c>
      <c r="X3217">
        <v>0.62137294292683087</v>
      </c>
      <c r="Y3217">
        <v>0.60206207261596578</v>
      </c>
    </row>
    <row r="3218" spans="4:25">
      <c r="D3218">
        <v>7</v>
      </c>
      <c r="E3218">
        <v>4.3839341736585897</v>
      </c>
      <c r="F3218" s="6">
        <v>3.7659863237109059</v>
      </c>
      <c r="G3218" s="6">
        <v>3.2463561918761585</v>
      </c>
      <c r="H3218" s="6">
        <v>2.8094010767585043</v>
      </c>
      <c r="I3218" s="6">
        <v>2.4419670868292944</v>
      </c>
      <c r="J3218" s="6">
        <v>2.1329931618554525</v>
      </c>
      <c r="K3218" s="6">
        <v>1.873178095938079</v>
      </c>
      <c r="L3218" s="6">
        <v>1.6547005383792519</v>
      </c>
      <c r="M3218" s="6">
        <v>1.470983543414647</v>
      </c>
      <c r="N3218" s="6">
        <v>1.3164965809277263</v>
      </c>
      <c r="O3218" s="6">
        <v>1.1865890479690395</v>
      </c>
      <c r="P3218">
        <v>1.0773502691896257</v>
      </c>
      <c r="Q3218">
        <v>0.98549177170732349</v>
      </c>
      <c r="R3218">
        <v>0.90824829046386302</v>
      </c>
      <c r="S3218">
        <v>0.84329452398451965</v>
      </c>
      <c r="T3218">
        <v>0.78867513459481287</v>
      </c>
      <c r="U3218">
        <v>0.74274588585366175</v>
      </c>
      <c r="V3218">
        <v>0.70412414523193156</v>
      </c>
      <c r="W3218">
        <v>0.67164726199225977</v>
      </c>
      <c r="X3218">
        <v>0.64433756729740643</v>
      </c>
      <c r="Y3218">
        <v>0.62137294292683087</v>
      </c>
    </row>
    <row r="3219" spans="4:25">
      <c r="D3219">
        <v>7.5</v>
      </c>
      <c r="E3219">
        <v>5.1188021535170085</v>
      </c>
      <c r="F3219" s="6">
        <v>4.3839341736585897</v>
      </c>
      <c r="G3219" s="6">
        <v>3.7659863237109059</v>
      </c>
      <c r="H3219" s="6">
        <v>3.2463561918761585</v>
      </c>
      <c r="I3219" s="6">
        <v>2.8094010767585038</v>
      </c>
      <c r="J3219" s="6">
        <v>2.4419670868292944</v>
      </c>
      <c r="K3219" s="6">
        <v>2.1329931618554525</v>
      </c>
      <c r="L3219" s="6">
        <v>1.873178095938079</v>
      </c>
      <c r="M3219" s="6">
        <v>1.6547005383792519</v>
      </c>
      <c r="N3219" s="6">
        <v>1.470983543414647</v>
      </c>
      <c r="O3219" s="6">
        <v>1.3164965809277263</v>
      </c>
      <c r="P3219">
        <v>1.1865890479690395</v>
      </c>
      <c r="Q3219">
        <v>1.0773502691896257</v>
      </c>
      <c r="R3219">
        <v>0.98549177170732349</v>
      </c>
      <c r="S3219">
        <v>0.90824829046386302</v>
      </c>
      <c r="T3219">
        <v>0.84329452398451965</v>
      </c>
      <c r="U3219">
        <v>0.78867513459481287</v>
      </c>
      <c r="V3219">
        <v>0.74274588585366175</v>
      </c>
      <c r="W3219">
        <v>0.70412414523193145</v>
      </c>
      <c r="X3219">
        <v>0.67164726199225977</v>
      </c>
      <c r="Y3219">
        <v>0.64433756729740643</v>
      </c>
    </row>
    <row r="3220" spans="4:25">
      <c r="D3220">
        <v>8</v>
      </c>
      <c r="E3220">
        <v>5.992712383752318</v>
      </c>
      <c r="F3220" s="6">
        <v>5.1188021535170094</v>
      </c>
      <c r="G3220" s="6">
        <v>4.3839341736585897</v>
      </c>
      <c r="H3220" s="6">
        <v>3.7659863237109059</v>
      </c>
      <c r="I3220" s="6">
        <v>3.2463561918761581</v>
      </c>
      <c r="J3220" s="6">
        <v>2.8094010767585043</v>
      </c>
      <c r="K3220" s="6">
        <v>2.4419670868292949</v>
      </c>
      <c r="L3220" s="6">
        <v>2.1329931618554525</v>
      </c>
      <c r="M3220" s="6">
        <v>1.873178095938079</v>
      </c>
      <c r="N3220" s="6">
        <v>1.6547005383792519</v>
      </c>
      <c r="O3220" s="6">
        <v>1.470983543414647</v>
      </c>
      <c r="P3220">
        <v>1.3164965809277263</v>
      </c>
      <c r="Q3220">
        <v>1.1865890479690395</v>
      </c>
      <c r="R3220">
        <v>1.0773502691896257</v>
      </c>
      <c r="S3220">
        <v>0.98549177170732349</v>
      </c>
      <c r="T3220">
        <v>0.90824829046386302</v>
      </c>
      <c r="U3220">
        <v>0.84329452398451965</v>
      </c>
      <c r="V3220">
        <v>0.78867513459481287</v>
      </c>
      <c r="W3220">
        <v>0.74274588585366175</v>
      </c>
      <c r="X3220">
        <v>0.70412414523193145</v>
      </c>
      <c r="Y3220">
        <v>0.67164726199225977</v>
      </c>
    </row>
    <row r="3221" spans="4:25">
      <c r="D3221">
        <v>8.5</v>
      </c>
      <c r="E3221">
        <v>7.0319726474218127</v>
      </c>
      <c r="F3221" s="6">
        <v>5.992712383752318</v>
      </c>
      <c r="G3221" s="6">
        <v>5.1188021535170094</v>
      </c>
      <c r="H3221" s="6">
        <v>4.3839341736585897</v>
      </c>
      <c r="I3221" s="6">
        <v>3.7659863237109059</v>
      </c>
      <c r="J3221" s="6">
        <v>3.2463561918761585</v>
      </c>
      <c r="K3221" s="6">
        <v>2.8094010767585043</v>
      </c>
      <c r="L3221" s="6">
        <v>2.4419670868292949</v>
      </c>
      <c r="M3221" s="6">
        <v>2.1329931618554525</v>
      </c>
      <c r="N3221" s="6">
        <v>1.873178095938079</v>
      </c>
      <c r="O3221" s="6">
        <v>1.6547005383792519</v>
      </c>
      <c r="P3221">
        <v>1.470983543414647</v>
      </c>
      <c r="Q3221">
        <v>1.3164965809277263</v>
      </c>
      <c r="R3221">
        <v>1.1865890479690395</v>
      </c>
      <c r="S3221">
        <v>1.0773502691896257</v>
      </c>
      <c r="T3221">
        <v>0.98549177170732349</v>
      </c>
      <c r="U3221">
        <v>0.90824829046386302</v>
      </c>
      <c r="V3221">
        <v>0.84329452398451965</v>
      </c>
      <c r="W3221">
        <v>0.78867513459481287</v>
      </c>
      <c r="X3221">
        <v>0.74274588585366175</v>
      </c>
      <c r="Y3221">
        <v>0.70412414523193156</v>
      </c>
    </row>
    <row r="3222" spans="4:25">
      <c r="D3222">
        <v>9</v>
      </c>
      <c r="E3222">
        <v>8.2678683473171795</v>
      </c>
      <c r="F3222" s="6">
        <v>7.0319726474218127</v>
      </c>
      <c r="G3222" s="6">
        <v>5.992712383752318</v>
      </c>
      <c r="H3222" s="6">
        <v>5.1188021535170094</v>
      </c>
      <c r="I3222" s="6">
        <v>4.3839341736585897</v>
      </c>
      <c r="J3222" s="6">
        <v>3.7659863237109059</v>
      </c>
      <c r="K3222" s="6">
        <v>3.2463561918761585</v>
      </c>
      <c r="L3222" s="6">
        <v>2.8094010767585043</v>
      </c>
      <c r="M3222" s="6">
        <v>2.4419670868292944</v>
      </c>
      <c r="N3222" s="6">
        <v>2.1329931618554525</v>
      </c>
      <c r="O3222" s="6">
        <v>1.873178095938079</v>
      </c>
      <c r="P3222">
        <v>1.6547005383792519</v>
      </c>
      <c r="Q3222">
        <v>1.470983543414647</v>
      </c>
      <c r="R3222">
        <v>1.3164965809277263</v>
      </c>
      <c r="S3222">
        <v>1.1865890479690395</v>
      </c>
      <c r="T3222">
        <v>1.0773502691896257</v>
      </c>
      <c r="U3222">
        <v>0.98549177170732349</v>
      </c>
      <c r="V3222">
        <v>0.90824829046386313</v>
      </c>
      <c r="W3222">
        <v>0.84329452398451965</v>
      </c>
      <c r="X3222">
        <v>0.78867513459481287</v>
      </c>
      <c r="Y3222">
        <v>0.74274588585366175</v>
      </c>
    </row>
    <row r="3223" spans="4:25">
      <c r="D3223">
        <v>9.5</v>
      </c>
      <c r="E3223">
        <v>9.7376043070340188</v>
      </c>
      <c r="F3223" s="6">
        <v>8.2678683473171795</v>
      </c>
      <c r="G3223" s="6">
        <v>7.0319726474218127</v>
      </c>
      <c r="H3223" s="6">
        <v>5.992712383752318</v>
      </c>
      <c r="I3223" s="6">
        <v>5.1188021535170085</v>
      </c>
      <c r="J3223" s="6">
        <v>4.3839341736585897</v>
      </c>
      <c r="K3223" s="6">
        <v>3.7659863237109059</v>
      </c>
      <c r="L3223" s="6">
        <v>3.2463561918761585</v>
      </c>
      <c r="M3223" s="6">
        <v>2.8094010767585043</v>
      </c>
      <c r="N3223" s="6">
        <v>2.4419670868292949</v>
      </c>
      <c r="O3223" s="6">
        <v>2.1329931618554525</v>
      </c>
      <c r="P3223">
        <v>1.873178095938079</v>
      </c>
      <c r="Q3223">
        <v>1.6547005383792519</v>
      </c>
      <c r="R3223">
        <v>1.470983543414647</v>
      </c>
      <c r="S3223">
        <v>1.3164965809277263</v>
      </c>
      <c r="T3223">
        <v>1.1865890479690395</v>
      </c>
      <c r="U3223">
        <v>1.0773502691896257</v>
      </c>
      <c r="V3223">
        <v>0.98549177170732349</v>
      </c>
      <c r="W3223">
        <v>0.90824829046386302</v>
      </c>
      <c r="X3223">
        <v>0.84329452398451965</v>
      </c>
      <c r="Y3223">
        <v>0.78867513459481287</v>
      </c>
    </row>
    <row r="3224" spans="4:25">
      <c r="D3224">
        <v>10</v>
      </c>
      <c r="E3224">
        <v>10</v>
      </c>
      <c r="F3224" s="6">
        <v>9.7376043070340188</v>
      </c>
      <c r="G3224" s="6">
        <v>8.2678683473171795</v>
      </c>
      <c r="H3224" s="6">
        <v>7.0319726474218127</v>
      </c>
      <c r="I3224" s="6">
        <v>5.992712383752318</v>
      </c>
      <c r="J3224" s="6">
        <v>5.1188021535170094</v>
      </c>
      <c r="K3224" s="6">
        <v>4.3839341736585897</v>
      </c>
      <c r="L3224" s="6">
        <v>3.7659863237109064</v>
      </c>
      <c r="M3224" s="6">
        <v>3.2463561918761581</v>
      </c>
      <c r="N3224" s="6">
        <v>2.8094010767585043</v>
      </c>
      <c r="O3224" s="6">
        <v>2.4419670868292944</v>
      </c>
      <c r="P3224">
        <v>2.1329931618554525</v>
      </c>
      <c r="Q3224">
        <v>1.873178095938079</v>
      </c>
      <c r="R3224">
        <v>1.6547005383792519</v>
      </c>
      <c r="S3224">
        <v>1.470983543414647</v>
      </c>
      <c r="T3224">
        <v>1.3164965809277263</v>
      </c>
      <c r="U3224">
        <v>1.1865890479690395</v>
      </c>
      <c r="V3224">
        <v>1.0773502691896257</v>
      </c>
      <c r="W3224">
        <v>0.98549177170732349</v>
      </c>
      <c r="X3224">
        <v>0.90824829046386302</v>
      </c>
      <c r="Y3224">
        <v>0.84329452398451965</v>
      </c>
    </row>
    <row r="3225" spans="4:25">
      <c r="D3225">
        <v>10.5</v>
      </c>
      <c r="E3225">
        <v>10</v>
      </c>
      <c r="F3225" s="6">
        <v>10</v>
      </c>
      <c r="G3225" s="6">
        <v>9.7376043070340206</v>
      </c>
      <c r="H3225" s="6">
        <v>8.2678683473171795</v>
      </c>
      <c r="I3225" s="6">
        <v>7.0319726474218127</v>
      </c>
      <c r="J3225" s="6">
        <v>5.992712383752318</v>
      </c>
      <c r="K3225" s="6">
        <v>5.1188021535170094</v>
      </c>
      <c r="L3225" s="6">
        <v>4.3839341736585897</v>
      </c>
      <c r="M3225" s="6">
        <v>3.7659863237109059</v>
      </c>
      <c r="N3225" s="6">
        <v>3.2463561918761585</v>
      </c>
      <c r="O3225" s="6">
        <v>2.8094010767585043</v>
      </c>
      <c r="P3225">
        <v>2.4419670868292949</v>
      </c>
      <c r="Q3225">
        <v>2.1329931618554525</v>
      </c>
      <c r="R3225">
        <v>1.873178095938079</v>
      </c>
      <c r="S3225">
        <v>1.6547005383792519</v>
      </c>
      <c r="T3225">
        <v>1.470983543414647</v>
      </c>
      <c r="U3225">
        <v>1.3164965809277263</v>
      </c>
      <c r="V3225">
        <v>1.1865890479690395</v>
      </c>
      <c r="W3225">
        <v>1.0773502691896257</v>
      </c>
      <c r="X3225">
        <v>0.98549177170732349</v>
      </c>
      <c r="Y3225">
        <v>0.90824829046386313</v>
      </c>
    </row>
    <row r="3226" spans="4:25">
      <c r="D3226">
        <v>11</v>
      </c>
      <c r="E3226">
        <v>10</v>
      </c>
      <c r="F3226" s="6">
        <v>10</v>
      </c>
      <c r="G3226" s="6">
        <v>10</v>
      </c>
      <c r="H3226" s="6">
        <v>9.7376043070340188</v>
      </c>
      <c r="I3226" s="6">
        <v>8.2678683473171795</v>
      </c>
      <c r="J3226" s="6">
        <v>7.0319726474218127</v>
      </c>
      <c r="K3226" s="6">
        <v>5.992712383752318</v>
      </c>
      <c r="L3226" s="6">
        <v>5.1188021535170094</v>
      </c>
      <c r="M3226" s="6">
        <v>4.3839341736585897</v>
      </c>
      <c r="N3226" s="6">
        <v>3.7659863237109059</v>
      </c>
      <c r="O3226" s="6">
        <v>3.2463561918761581</v>
      </c>
      <c r="P3226">
        <v>2.8094010767585043</v>
      </c>
      <c r="Q3226">
        <v>2.4419670868292944</v>
      </c>
      <c r="R3226">
        <v>2.1329931618554525</v>
      </c>
      <c r="S3226">
        <v>1.873178095938079</v>
      </c>
      <c r="T3226">
        <v>1.6547005383792517</v>
      </c>
      <c r="U3226">
        <v>1.470983543414647</v>
      </c>
      <c r="V3226">
        <v>1.3164965809277263</v>
      </c>
      <c r="W3226">
        <v>1.1865890479690395</v>
      </c>
      <c r="X3226">
        <v>1.0773502691896257</v>
      </c>
      <c r="Y3226">
        <v>0.98549177170732349</v>
      </c>
    </row>
    <row r="3227" spans="4:25">
      <c r="D3227">
        <v>11.5</v>
      </c>
      <c r="E3227">
        <v>10</v>
      </c>
      <c r="F3227" s="6">
        <v>10</v>
      </c>
      <c r="G3227" s="6">
        <v>10</v>
      </c>
      <c r="H3227" s="6">
        <v>10</v>
      </c>
      <c r="I3227" s="6">
        <v>9.7376043070340188</v>
      </c>
      <c r="J3227" s="6">
        <v>8.2678683473171795</v>
      </c>
      <c r="K3227" s="6">
        <v>7.0319726474218127</v>
      </c>
      <c r="L3227" s="6">
        <v>5.992712383752318</v>
      </c>
      <c r="M3227" s="6">
        <v>5.1188021535170085</v>
      </c>
      <c r="N3227" s="6">
        <v>4.3839341736585897</v>
      </c>
      <c r="O3227" s="6">
        <v>3.7659863237109055</v>
      </c>
      <c r="P3227">
        <v>3.2463561918761581</v>
      </c>
      <c r="Q3227">
        <v>2.8094010767585038</v>
      </c>
      <c r="R3227">
        <v>2.4419670868292944</v>
      </c>
      <c r="S3227">
        <v>2.1329931618554525</v>
      </c>
      <c r="T3227">
        <v>1.8731780959380788</v>
      </c>
      <c r="U3227">
        <v>1.6547005383792517</v>
      </c>
      <c r="V3227">
        <v>1.470983543414647</v>
      </c>
      <c r="W3227">
        <v>1.3164965809277263</v>
      </c>
      <c r="X3227">
        <v>1.1865890479690395</v>
      </c>
      <c r="Y3227">
        <v>1.0773502691896257</v>
      </c>
    </row>
    <row r="3228" spans="4:25">
      <c r="D3228">
        <v>12</v>
      </c>
      <c r="E3228">
        <v>10</v>
      </c>
      <c r="F3228" s="6">
        <v>10</v>
      </c>
      <c r="G3228" s="6">
        <v>10</v>
      </c>
      <c r="H3228" s="6">
        <v>10</v>
      </c>
      <c r="I3228" s="6">
        <v>10</v>
      </c>
      <c r="J3228" s="6">
        <v>9.7376043070340188</v>
      </c>
      <c r="K3228" s="6">
        <v>8.2678683473171795</v>
      </c>
      <c r="L3228" s="6">
        <v>7.0319726474218127</v>
      </c>
      <c r="M3228" s="6">
        <v>5.9927123837523171</v>
      </c>
      <c r="N3228" s="6">
        <v>5.1188021535170085</v>
      </c>
      <c r="O3228" s="6">
        <v>4.3839341736585897</v>
      </c>
      <c r="P3228">
        <v>3.7659863237109055</v>
      </c>
      <c r="Q3228">
        <v>3.2463561918761581</v>
      </c>
      <c r="R3228">
        <v>2.8094010767585038</v>
      </c>
      <c r="S3228">
        <v>2.4419670868292944</v>
      </c>
      <c r="T3228">
        <v>2.1329931618554525</v>
      </c>
      <c r="U3228">
        <v>1.8731780959380788</v>
      </c>
      <c r="V3228">
        <v>1.6547005383792517</v>
      </c>
      <c r="W3228">
        <v>1.470983543414647</v>
      </c>
      <c r="X3228">
        <v>1.3164965809277263</v>
      </c>
      <c r="Y3228">
        <v>1.1865890479690393</v>
      </c>
    </row>
    <row r="3229" spans="4:25">
      <c r="D3229">
        <v>12.5</v>
      </c>
      <c r="E3229">
        <v>10</v>
      </c>
      <c r="F3229" s="6">
        <v>10</v>
      </c>
      <c r="G3229" s="6">
        <v>10</v>
      </c>
      <c r="H3229" s="6">
        <v>10</v>
      </c>
      <c r="I3229" s="6">
        <v>10</v>
      </c>
      <c r="J3229" s="6">
        <v>10</v>
      </c>
      <c r="K3229" s="6">
        <v>9.7376043070340188</v>
      </c>
      <c r="L3229" s="6">
        <v>8.2678683473171795</v>
      </c>
      <c r="M3229" s="6">
        <v>7.0319726474218118</v>
      </c>
      <c r="N3229" s="6">
        <v>5.9927123837523171</v>
      </c>
      <c r="O3229" s="6">
        <v>5.1188021535170085</v>
      </c>
      <c r="P3229">
        <v>4.3839341736585897</v>
      </c>
      <c r="Q3229">
        <v>3.7659863237109055</v>
      </c>
      <c r="R3229">
        <v>3.2463561918761581</v>
      </c>
      <c r="S3229">
        <v>2.8094010767585038</v>
      </c>
      <c r="T3229">
        <v>2.441967086829294</v>
      </c>
      <c r="U3229">
        <v>2.1329931618554525</v>
      </c>
      <c r="V3229">
        <v>1.8731780959380788</v>
      </c>
      <c r="W3229">
        <v>1.6547005383792517</v>
      </c>
      <c r="X3229">
        <v>1.470983543414647</v>
      </c>
      <c r="Y3229">
        <v>1.3164965809277263</v>
      </c>
    </row>
    <row r="3230" spans="4:25">
      <c r="D3230">
        <v>13</v>
      </c>
      <c r="E3230">
        <v>10</v>
      </c>
      <c r="F3230" s="6">
        <v>10</v>
      </c>
      <c r="G3230" s="6">
        <v>10</v>
      </c>
      <c r="H3230" s="6">
        <v>10</v>
      </c>
      <c r="I3230" s="6">
        <v>10</v>
      </c>
      <c r="J3230" s="6">
        <v>10</v>
      </c>
      <c r="K3230" s="6">
        <v>10</v>
      </c>
      <c r="L3230" s="6">
        <v>9.7376043070340188</v>
      </c>
      <c r="M3230" s="6">
        <v>8.2678683473171795</v>
      </c>
      <c r="N3230" s="6">
        <v>7.0319726474218118</v>
      </c>
      <c r="O3230" s="6">
        <v>5.9927123837523162</v>
      </c>
      <c r="P3230">
        <v>5.1188021535170085</v>
      </c>
      <c r="Q3230">
        <v>4.3839341736585888</v>
      </c>
      <c r="R3230">
        <v>3.7659863237109055</v>
      </c>
      <c r="S3230">
        <v>3.2463561918761581</v>
      </c>
      <c r="T3230">
        <v>2.8094010767585034</v>
      </c>
      <c r="U3230">
        <v>2.441967086829294</v>
      </c>
      <c r="V3230">
        <v>2.1329931618554525</v>
      </c>
      <c r="W3230">
        <v>1.8731780959380788</v>
      </c>
      <c r="X3230">
        <v>1.6547005383792517</v>
      </c>
      <c r="Y3230">
        <v>1.470983543414647</v>
      </c>
    </row>
    <row r="3231" spans="4:25">
      <c r="D3231">
        <v>13.5</v>
      </c>
      <c r="E3231">
        <v>10</v>
      </c>
      <c r="F3231" s="6">
        <v>10</v>
      </c>
      <c r="G3231" s="6">
        <v>10</v>
      </c>
      <c r="H3231" s="6">
        <v>10</v>
      </c>
      <c r="I3231" s="6">
        <v>10</v>
      </c>
      <c r="J3231" s="6">
        <v>10</v>
      </c>
      <c r="K3231" s="6">
        <v>10</v>
      </c>
      <c r="L3231" s="6">
        <v>10</v>
      </c>
      <c r="M3231" s="6">
        <v>9.737604307034017</v>
      </c>
      <c r="N3231" s="6">
        <v>8.2678683473171795</v>
      </c>
      <c r="O3231" s="6">
        <v>7.0319726474218109</v>
      </c>
      <c r="P3231">
        <v>5.9927123837523162</v>
      </c>
      <c r="Q3231">
        <v>5.1188021535170076</v>
      </c>
      <c r="R3231">
        <v>4.3839341736585888</v>
      </c>
      <c r="S3231">
        <v>3.765986323710905</v>
      </c>
      <c r="T3231">
        <v>3.2463561918761576</v>
      </c>
      <c r="U3231">
        <v>2.8094010767585034</v>
      </c>
      <c r="V3231">
        <v>2.441967086829294</v>
      </c>
      <c r="W3231">
        <v>2.1329931618554525</v>
      </c>
      <c r="X3231">
        <v>1.8731780959380788</v>
      </c>
      <c r="Y3231">
        <v>1.6547005383792517</v>
      </c>
    </row>
    <row r="3232" spans="4:25">
      <c r="D3232">
        <v>14</v>
      </c>
      <c r="E3232">
        <v>10</v>
      </c>
      <c r="F3232" s="6">
        <v>10</v>
      </c>
      <c r="G3232" s="6">
        <v>10</v>
      </c>
      <c r="H3232" s="6">
        <v>10</v>
      </c>
      <c r="I3232" s="6">
        <v>10</v>
      </c>
      <c r="J3232" s="6">
        <v>10</v>
      </c>
      <c r="K3232" s="6">
        <v>10</v>
      </c>
      <c r="L3232" s="6">
        <v>10</v>
      </c>
      <c r="M3232" s="6">
        <v>10</v>
      </c>
      <c r="N3232" s="6">
        <v>9.737604307034017</v>
      </c>
      <c r="O3232" s="6">
        <v>8.2678683473171795</v>
      </c>
      <c r="P3232">
        <v>7.0319726474218109</v>
      </c>
      <c r="Q3232">
        <v>5.9927123837523162</v>
      </c>
      <c r="R3232">
        <v>5.1188021535170076</v>
      </c>
      <c r="S3232">
        <v>4.3839341736585888</v>
      </c>
      <c r="T3232">
        <v>3.765986323710905</v>
      </c>
      <c r="U3232">
        <v>3.2463561918761576</v>
      </c>
      <c r="V3232">
        <v>2.8094010767585034</v>
      </c>
      <c r="W3232">
        <v>2.441967086829294</v>
      </c>
      <c r="X3232">
        <v>2.1329931618554525</v>
      </c>
      <c r="Y3232">
        <v>1.8731780959380786</v>
      </c>
    </row>
    <row r="3233" spans="4:25">
      <c r="D3233">
        <v>14.5</v>
      </c>
      <c r="E3233">
        <v>10</v>
      </c>
      <c r="F3233" s="6">
        <v>10</v>
      </c>
      <c r="G3233" s="6">
        <v>10</v>
      </c>
      <c r="H3233" s="6">
        <v>10</v>
      </c>
      <c r="I3233" s="6">
        <v>10</v>
      </c>
      <c r="J3233" s="6">
        <v>10</v>
      </c>
      <c r="K3233" s="6">
        <v>10</v>
      </c>
      <c r="L3233" s="6">
        <v>10</v>
      </c>
      <c r="M3233" s="6">
        <v>10</v>
      </c>
      <c r="N3233" s="6">
        <v>10</v>
      </c>
      <c r="O3233" s="6">
        <v>9.737604307034017</v>
      </c>
      <c r="P3233">
        <v>8.2678683473171795</v>
      </c>
      <c r="Q3233">
        <v>7.0319726474218109</v>
      </c>
      <c r="R3233">
        <v>5.9927123837523162</v>
      </c>
      <c r="S3233">
        <v>5.1188021535170076</v>
      </c>
      <c r="T3233">
        <v>4.383934173658588</v>
      </c>
      <c r="U3233">
        <v>3.765986323710905</v>
      </c>
      <c r="V3233">
        <v>3.2463561918761576</v>
      </c>
      <c r="W3233">
        <v>2.8094010767585034</v>
      </c>
      <c r="X3233">
        <v>2.441967086829294</v>
      </c>
      <c r="Y3233">
        <v>2.1329931618554525</v>
      </c>
    </row>
    <row r="3234" spans="4:25">
      <c r="D3234">
        <v>15</v>
      </c>
      <c r="E3234">
        <v>10</v>
      </c>
      <c r="F3234" s="6">
        <v>10</v>
      </c>
      <c r="G3234" s="6">
        <v>10</v>
      </c>
      <c r="H3234" s="6">
        <v>10</v>
      </c>
      <c r="I3234" s="6">
        <v>10</v>
      </c>
      <c r="J3234" s="6">
        <v>10</v>
      </c>
      <c r="K3234" s="6">
        <v>10</v>
      </c>
      <c r="L3234" s="6">
        <v>10</v>
      </c>
      <c r="M3234" s="6">
        <v>10</v>
      </c>
      <c r="N3234" s="6">
        <v>10</v>
      </c>
      <c r="O3234" s="6">
        <v>10</v>
      </c>
      <c r="P3234">
        <v>9.737604307034017</v>
      </c>
      <c r="Q3234">
        <v>8.2678683473171777</v>
      </c>
      <c r="R3234">
        <v>7.0319726474218109</v>
      </c>
      <c r="S3234">
        <v>5.9927123837523162</v>
      </c>
      <c r="T3234">
        <v>5.1188021535170067</v>
      </c>
      <c r="U3234">
        <v>4.383934173658588</v>
      </c>
      <c r="V3234">
        <v>3.765986323710905</v>
      </c>
      <c r="W3234">
        <v>3.2463561918761576</v>
      </c>
      <c r="X3234">
        <v>2.8094010767585034</v>
      </c>
      <c r="Y3234">
        <v>2.441967086829294</v>
      </c>
    </row>
    <row r="3235" spans="4:25">
      <c r="D3235">
        <v>15.5</v>
      </c>
      <c r="E3235">
        <v>10</v>
      </c>
      <c r="F3235" s="6">
        <v>10</v>
      </c>
      <c r="G3235" s="6">
        <v>10</v>
      </c>
      <c r="H3235" s="6">
        <v>10</v>
      </c>
      <c r="I3235" s="6">
        <v>10</v>
      </c>
      <c r="J3235" s="6">
        <v>10</v>
      </c>
      <c r="K3235" s="6">
        <v>10</v>
      </c>
      <c r="L3235" s="6">
        <v>10</v>
      </c>
      <c r="M3235" s="6">
        <v>10</v>
      </c>
      <c r="N3235" s="6">
        <v>10</v>
      </c>
      <c r="O3235" s="6">
        <v>10</v>
      </c>
      <c r="P3235">
        <v>10</v>
      </c>
      <c r="Q3235">
        <v>9.7376043070340152</v>
      </c>
      <c r="R3235">
        <v>8.2678683473171777</v>
      </c>
      <c r="S3235">
        <v>7.0319726474218101</v>
      </c>
      <c r="T3235">
        <v>5.9927123837523153</v>
      </c>
      <c r="U3235">
        <v>5.1188021535170067</v>
      </c>
      <c r="V3235">
        <v>4.383934173658588</v>
      </c>
      <c r="W3235">
        <v>3.765986323710905</v>
      </c>
      <c r="X3235">
        <v>3.2463561918761576</v>
      </c>
      <c r="Y3235">
        <v>2.8094010767585034</v>
      </c>
    </row>
    <row r="3236" spans="4:25">
      <c r="D3236">
        <v>16</v>
      </c>
      <c r="E3236">
        <v>10</v>
      </c>
      <c r="F3236" s="6">
        <v>10</v>
      </c>
      <c r="G3236" s="6">
        <v>10</v>
      </c>
      <c r="H3236" s="6">
        <v>10</v>
      </c>
      <c r="I3236" s="6">
        <v>10</v>
      </c>
      <c r="J3236" s="6">
        <v>10</v>
      </c>
      <c r="K3236" s="6">
        <v>10</v>
      </c>
      <c r="L3236" s="6">
        <v>10</v>
      </c>
      <c r="M3236" s="6">
        <v>10</v>
      </c>
      <c r="N3236" s="6">
        <v>10</v>
      </c>
      <c r="O3236" s="6">
        <v>10</v>
      </c>
      <c r="P3236">
        <v>10</v>
      </c>
      <c r="Q3236">
        <v>10</v>
      </c>
      <c r="R3236">
        <v>9.7376043070340152</v>
      </c>
      <c r="S3236">
        <v>8.2678683473171777</v>
      </c>
      <c r="T3236">
        <v>7.0319726474218101</v>
      </c>
      <c r="U3236">
        <v>5.9927123837523153</v>
      </c>
      <c r="V3236">
        <v>5.1188021535170067</v>
      </c>
      <c r="W3236">
        <v>4.383934173658588</v>
      </c>
      <c r="X3236">
        <v>3.7659863237109046</v>
      </c>
      <c r="Y3236">
        <v>3.2463561918761572</v>
      </c>
    </row>
    <row r="3237" spans="4:25">
      <c r="D3237">
        <v>16.5</v>
      </c>
      <c r="E3237">
        <v>10</v>
      </c>
      <c r="F3237" s="6">
        <v>10</v>
      </c>
      <c r="G3237" s="6">
        <v>10</v>
      </c>
      <c r="H3237" s="6">
        <v>10</v>
      </c>
      <c r="I3237" s="6">
        <v>10</v>
      </c>
      <c r="J3237" s="6">
        <v>10</v>
      </c>
      <c r="K3237" s="6">
        <v>10</v>
      </c>
      <c r="L3237" s="6">
        <v>10</v>
      </c>
      <c r="M3237" s="6">
        <v>10</v>
      </c>
      <c r="N3237" s="6">
        <v>10</v>
      </c>
      <c r="O3237" s="6">
        <v>10</v>
      </c>
      <c r="P3237">
        <v>10</v>
      </c>
      <c r="Q3237">
        <v>10</v>
      </c>
      <c r="R3237">
        <v>10</v>
      </c>
      <c r="S3237">
        <v>9.7376043070340152</v>
      </c>
      <c r="T3237">
        <v>8.2678683473171759</v>
      </c>
      <c r="U3237">
        <v>7.0319726474218101</v>
      </c>
      <c r="V3237">
        <v>5.9927123837523153</v>
      </c>
      <c r="W3237">
        <v>5.1188021535170067</v>
      </c>
      <c r="X3237">
        <v>4.383934173658588</v>
      </c>
      <c r="Y3237">
        <v>3.7659863237109046</v>
      </c>
    </row>
    <row r="3238" spans="4:25">
      <c r="D3238">
        <v>17</v>
      </c>
      <c r="E3238">
        <v>10</v>
      </c>
      <c r="F3238" s="6">
        <v>10</v>
      </c>
      <c r="G3238" s="6">
        <v>10</v>
      </c>
      <c r="H3238" s="6">
        <v>10</v>
      </c>
      <c r="I3238" s="6">
        <v>10</v>
      </c>
      <c r="J3238" s="6">
        <v>10</v>
      </c>
      <c r="K3238" s="6">
        <v>10</v>
      </c>
      <c r="L3238" s="6">
        <v>10</v>
      </c>
      <c r="M3238" s="6">
        <v>10</v>
      </c>
      <c r="N3238" s="6">
        <v>10</v>
      </c>
      <c r="O3238" s="6">
        <v>10</v>
      </c>
      <c r="P3238">
        <v>10</v>
      </c>
      <c r="Q3238">
        <v>10</v>
      </c>
      <c r="R3238">
        <v>10</v>
      </c>
      <c r="S3238">
        <v>10</v>
      </c>
      <c r="T3238">
        <v>9.7376043070340135</v>
      </c>
      <c r="U3238">
        <v>8.2678683473171759</v>
      </c>
      <c r="V3238">
        <v>7.0319726474218101</v>
      </c>
      <c r="W3238">
        <v>5.9927123837523153</v>
      </c>
      <c r="X3238">
        <v>5.1188021535170067</v>
      </c>
      <c r="Y3238">
        <v>4.383934173658588</v>
      </c>
    </row>
    <row r="3239" spans="4:25">
      <c r="D3239">
        <v>17.5</v>
      </c>
      <c r="E3239">
        <v>10</v>
      </c>
      <c r="F3239" s="6">
        <v>10</v>
      </c>
      <c r="G3239" s="6">
        <v>10</v>
      </c>
      <c r="H3239" s="6">
        <v>10</v>
      </c>
      <c r="I3239" s="6">
        <v>10</v>
      </c>
      <c r="J3239" s="6">
        <v>10</v>
      </c>
      <c r="K3239" s="6">
        <v>10</v>
      </c>
      <c r="L3239" s="6">
        <v>10</v>
      </c>
      <c r="M3239" s="6">
        <v>10</v>
      </c>
      <c r="N3239" s="6">
        <v>10</v>
      </c>
      <c r="O3239" s="6">
        <v>10</v>
      </c>
      <c r="P3239">
        <v>10</v>
      </c>
      <c r="Q3239">
        <v>10</v>
      </c>
      <c r="R3239">
        <v>10</v>
      </c>
      <c r="S3239">
        <v>10</v>
      </c>
      <c r="T3239">
        <v>10</v>
      </c>
      <c r="U3239">
        <v>9.7376043070340135</v>
      </c>
      <c r="V3239">
        <v>8.2678683473171759</v>
      </c>
      <c r="W3239">
        <v>7.0319726474218101</v>
      </c>
      <c r="X3239">
        <v>5.9927123837523153</v>
      </c>
      <c r="Y3239">
        <v>5.1188021535170067</v>
      </c>
    </row>
    <row r="3240" spans="4:25">
      <c r="D3240">
        <v>18</v>
      </c>
      <c r="E3240">
        <v>10</v>
      </c>
      <c r="F3240" s="6">
        <v>10</v>
      </c>
      <c r="G3240" s="6">
        <v>10</v>
      </c>
      <c r="H3240" s="6">
        <v>10</v>
      </c>
      <c r="I3240" s="6">
        <v>10</v>
      </c>
      <c r="J3240" s="6">
        <v>10</v>
      </c>
      <c r="K3240" s="6">
        <v>10</v>
      </c>
      <c r="L3240" s="6">
        <v>10</v>
      </c>
      <c r="M3240" s="6">
        <v>10</v>
      </c>
      <c r="N3240" s="6">
        <v>10</v>
      </c>
      <c r="O3240" s="6">
        <v>10</v>
      </c>
      <c r="P3240">
        <v>10</v>
      </c>
      <c r="Q3240">
        <v>10</v>
      </c>
      <c r="R3240">
        <v>10</v>
      </c>
      <c r="S3240">
        <v>10</v>
      </c>
      <c r="T3240">
        <v>10</v>
      </c>
      <c r="U3240">
        <v>10</v>
      </c>
      <c r="V3240">
        <v>9.7376043070340135</v>
      </c>
      <c r="W3240">
        <v>8.2678683473171759</v>
      </c>
      <c r="X3240">
        <v>7.0319726474218092</v>
      </c>
      <c r="Y3240">
        <v>5.9927123837523144</v>
      </c>
    </row>
    <row r="3241" spans="4:25">
      <c r="D3241">
        <v>18.5</v>
      </c>
      <c r="E3241">
        <v>10</v>
      </c>
      <c r="F3241" s="6">
        <v>10</v>
      </c>
      <c r="G3241" s="6">
        <v>10</v>
      </c>
      <c r="H3241" s="6">
        <v>10</v>
      </c>
      <c r="I3241" s="6">
        <v>10</v>
      </c>
      <c r="J3241" s="6">
        <v>10</v>
      </c>
      <c r="K3241" s="6">
        <v>10</v>
      </c>
      <c r="L3241" s="6">
        <v>10</v>
      </c>
      <c r="M3241" s="6">
        <v>10</v>
      </c>
      <c r="N3241" s="6">
        <v>10</v>
      </c>
      <c r="O3241" s="6">
        <v>10</v>
      </c>
      <c r="P3241">
        <v>10</v>
      </c>
      <c r="Q3241">
        <v>10</v>
      </c>
      <c r="R3241">
        <v>10</v>
      </c>
      <c r="S3241">
        <v>10</v>
      </c>
      <c r="T3241">
        <v>10</v>
      </c>
      <c r="U3241">
        <v>10</v>
      </c>
      <c r="V3241">
        <v>10</v>
      </c>
      <c r="W3241">
        <v>9.7376043070340135</v>
      </c>
      <c r="X3241">
        <v>8.2678683473171759</v>
      </c>
      <c r="Y3241">
        <v>7.0319726474218092</v>
      </c>
    </row>
    <row r="3242" spans="4:25">
      <c r="D3242">
        <v>19</v>
      </c>
      <c r="E3242">
        <v>10</v>
      </c>
      <c r="F3242" s="6">
        <v>10</v>
      </c>
      <c r="G3242" s="6">
        <v>10</v>
      </c>
      <c r="H3242" s="6">
        <v>10</v>
      </c>
      <c r="I3242" s="6">
        <v>10</v>
      </c>
      <c r="J3242" s="6">
        <v>10</v>
      </c>
      <c r="K3242" s="6">
        <v>10</v>
      </c>
      <c r="L3242" s="6">
        <v>10</v>
      </c>
      <c r="M3242" s="6">
        <v>10</v>
      </c>
      <c r="N3242" s="6">
        <v>10</v>
      </c>
      <c r="O3242" s="6">
        <v>10</v>
      </c>
      <c r="P3242">
        <v>10</v>
      </c>
      <c r="Q3242">
        <v>10</v>
      </c>
      <c r="R3242">
        <v>10</v>
      </c>
      <c r="S3242">
        <v>10</v>
      </c>
      <c r="T3242">
        <v>10</v>
      </c>
      <c r="U3242">
        <v>10</v>
      </c>
      <c r="V3242">
        <v>10</v>
      </c>
      <c r="W3242">
        <v>10</v>
      </c>
      <c r="X3242">
        <v>9.7376043070340135</v>
      </c>
      <c r="Y3242">
        <v>8.2678683473171759</v>
      </c>
    </row>
    <row r="3243" spans="4:25">
      <c r="D3243">
        <v>19.5</v>
      </c>
      <c r="E3243">
        <v>10</v>
      </c>
      <c r="F3243" s="6">
        <v>10</v>
      </c>
      <c r="G3243" s="6">
        <v>10</v>
      </c>
      <c r="H3243" s="6">
        <v>10</v>
      </c>
      <c r="I3243" s="6">
        <v>10</v>
      </c>
      <c r="J3243" s="6">
        <v>10</v>
      </c>
      <c r="K3243" s="6">
        <v>10</v>
      </c>
      <c r="L3243" s="6">
        <v>10</v>
      </c>
      <c r="M3243" s="6">
        <v>10</v>
      </c>
      <c r="N3243" s="6">
        <v>10</v>
      </c>
      <c r="O3243" s="6">
        <v>10</v>
      </c>
      <c r="P3243">
        <v>10</v>
      </c>
      <c r="Q3243">
        <v>10</v>
      </c>
      <c r="R3243">
        <v>10</v>
      </c>
      <c r="S3243">
        <v>10</v>
      </c>
      <c r="T3243">
        <v>10</v>
      </c>
      <c r="U3243">
        <v>10</v>
      </c>
      <c r="V3243">
        <v>10</v>
      </c>
      <c r="W3243">
        <v>10</v>
      </c>
      <c r="X3243">
        <v>10</v>
      </c>
      <c r="Y3243">
        <v>9.7376043070340135</v>
      </c>
    </row>
    <row r="3244" spans="4:25">
      <c r="D3244">
        <v>20</v>
      </c>
      <c r="E3244">
        <v>10</v>
      </c>
      <c r="F3244" s="6">
        <v>10</v>
      </c>
      <c r="G3244" s="6">
        <v>10</v>
      </c>
      <c r="H3244" s="6">
        <v>10</v>
      </c>
      <c r="I3244" s="6">
        <v>10</v>
      </c>
      <c r="J3244" s="6">
        <v>10</v>
      </c>
      <c r="K3244" s="6">
        <v>10</v>
      </c>
      <c r="L3244" s="6">
        <v>10</v>
      </c>
      <c r="M3244" s="6">
        <v>10</v>
      </c>
      <c r="N3244" s="6">
        <v>10</v>
      </c>
      <c r="O3244" s="6">
        <v>10</v>
      </c>
      <c r="P3244">
        <v>10</v>
      </c>
      <c r="Q3244">
        <v>10</v>
      </c>
      <c r="R3244">
        <v>10</v>
      </c>
      <c r="S3244">
        <v>10</v>
      </c>
      <c r="T3244">
        <v>10</v>
      </c>
      <c r="U3244">
        <v>10</v>
      </c>
      <c r="V3244">
        <v>10</v>
      </c>
      <c r="W3244">
        <v>10</v>
      </c>
      <c r="X3244">
        <v>10</v>
      </c>
      <c r="Y3244">
        <v>9.7376043070340135</v>
      </c>
    </row>
    <row r="3248" spans="4:25">
      <c r="D3248" t="s">
        <v>106</v>
      </c>
      <c r="E3248" s="1">
        <f>COUNT(E3257:BG3257)</f>
        <v>21</v>
      </c>
      <c r="G3248" s="31" t="s">
        <v>384</v>
      </c>
      <c r="H3248" s="25">
        <v>100</v>
      </c>
      <c r="K3248" s="31" t="s">
        <v>394</v>
      </c>
      <c r="L3248" s="31" t="s">
        <v>395</v>
      </c>
      <c r="M3248" s="31" t="s">
        <v>396</v>
      </c>
      <c r="N3248" s="31" t="s">
        <v>397</v>
      </c>
      <c r="P3248" s="1" t="s">
        <v>398</v>
      </c>
      <c r="S3248" s="1" t="s">
        <v>403</v>
      </c>
      <c r="U3248" s="1" t="s">
        <v>407</v>
      </c>
      <c r="V3248" s="1" t="s">
        <v>7</v>
      </c>
      <c r="X3248" s="1" t="s">
        <v>408</v>
      </c>
      <c r="Y3248" s="4">
        <v>300</v>
      </c>
    </row>
    <row r="3249" spans="4:25">
      <c r="D3249" t="s">
        <v>107</v>
      </c>
      <c r="E3249" s="1">
        <f>COUNT(D3258:D3358)</f>
        <v>84</v>
      </c>
      <c r="G3249" s="31" t="s">
        <v>386</v>
      </c>
      <c r="H3249" s="25">
        <v>150</v>
      </c>
      <c r="J3249" s="31" t="s">
        <v>390</v>
      </c>
      <c r="K3249" s="25">
        <v>255</v>
      </c>
      <c r="L3249" s="25">
        <v>0</v>
      </c>
      <c r="M3249" s="25">
        <v>0</v>
      </c>
      <c r="N3249" s="25">
        <v>0.9</v>
      </c>
      <c r="P3249" s="1" t="s">
        <v>399</v>
      </c>
      <c r="Q3249" s="4">
        <v>600</v>
      </c>
      <c r="S3249" s="1" t="s">
        <v>2</v>
      </c>
      <c r="T3249" s="4" t="s">
        <v>424</v>
      </c>
      <c r="U3249" s="4">
        <v>-2000</v>
      </c>
      <c r="V3249" s="4">
        <v>700</v>
      </c>
      <c r="X3249" s="1" t="s">
        <v>409</v>
      </c>
      <c r="Y3249" s="4">
        <v>20</v>
      </c>
    </row>
    <row r="3250" spans="4:25">
      <c r="D3250" t="s">
        <v>383</v>
      </c>
      <c r="E3250" s="4" t="s">
        <v>427</v>
      </c>
      <c r="G3250" s="31" t="s">
        <v>385</v>
      </c>
      <c r="H3250" s="25">
        <v>300</v>
      </c>
      <c r="J3250" s="31" t="s">
        <v>391</v>
      </c>
      <c r="K3250" s="25">
        <v>255</v>
      </c>
      <c r="L3250" s="25">
        <v>255</v>
      </c>
      <c r="M3250" s="25">
        <v>0</v>
      </c>
      <c r="P3250" s="1" t="s">
        <v>400</v>
      </c>
      <c r="Q3250" s="4">
        <v>-6000</v>
      </c>
      <c r="S3250" s="1" t="s">
        <v>3</v>
      </c>
      <c r="T3250" s="4" t="s">
        <v>425</v>
      </c>
      <c r="U3250" s="4">
        <v>-1000</v>
      </c>
      <c r="V3250" s="4">
        <v>0</v>
      </c>
      <c r="X3250" s="1" t="s">
        <v>419</v>
      </c>
      <c r="Y3250" s="4">
        <v>250</v>
      </c>
    </row>
    <row r="3251" spans="4:25">
      <c r="D3251" s="1" t="s">
        <v>436</v>
      </c>
      <c r="E3251" s="4">
        <v>2</v>
      </c>
      <c r="G3251" s="31" t="s">
        <v>387</v>
      </c>
      <c r="H3251" s="25">
        <v>0</v>
      </c>
      <c r="J3251" s="31" t="s">
        <v>392</v>
      </c>
      <c r="K3251" s="25">
        <v>0</v>
      </c>
      <c r="L3251" s="25">
        <v>255</v>
      </c>
      <c r="M3251" s="25">
        <v>0</v>
      </c>
      <c r="N3251" s="25">
        <v>1.1000000000000001</v>
      </c>
      <c r="P3251" s="1" t="s">
        <v>401</v>
      </c>
      <c r="Q3251" s="4">
        <v>400</v>
      </c>
      <c r="S3251" s="1" t="s">
        <v>404</v>
      </c>
      <c r="T3251" s="4" t="s">
        <v>405</v>
      </c>
      <c r="U3251" s="4">
        <v>0</v>
      </c>
      <c r="V3251" s="4">
        <v>0</v>
      </c>
      <c r="X3251" s="1" t="s">
        <v>418</v>
      </c>
      <c r="Y3251" s="4">
        <v>250</v>
      </c>
    </row>
    <row r="3252" spans="4:25">
      <c r="D3252" s="1" t="s">
        <v>406</v>
      </c>
      <c r="E3252" s="4">
        <v>1</v>
      </c>
      <c r="G3252" s="31" t="s">
        <v>388</v>
      </c>
      <c r="H3252" s="25">
        <v>1000</v>
      </c>
      <c r="J3252" s="31" t="s">
        <v>393</v>
      </c>
      <c r="K3252" s="25">
        <v>0</v>
      </c>
      <c r="L3252" s="25">
        <v>0</v>
      </c>
      <c r="M3252" s="25">
        <v>0</v>
      </c>
      <c r="P3252" s="1" t="s">
        <v>402</v>
      </c>
      <c r="Q3252" s="4">
        <v>900</v>
      </c>
      <c r="S3252" s="1" t="s">
        <v>389</v>
      </c>
      <c r="T3252" s="4" t="s">
        <v>428</v>
      </c>
      <c r="U3252" s="4">
        <v>2500</v>
      </c>
      <c r="V3252" s="4">
        <v>100</v>
      </c>
      <c r="X3252" s="1" t="s">
        <v>420</v>
      </c>
      <c r="Y3252" s="4">
        <v>600</v>
      </c>
    </row>
    <row r="3253" spans="4:25">
      <c r="D3253" s="1" t="s">
        <v>415</v>
      </c>
      <c r="E3253" s="4">
        <v>1</v>
      </c>
      <c r="G3253" s="31"/>
      <c r="H3253" s="25"/>
      <c r="J3253" s="31" t="s">
        <v>437</v>
      </c>
      <c r="L3253" s="25" t="s">
        <v>438</v>
      </c>
      <c r="M3253" s="25"/>
      <c r="P3253" s="1"/>
      <c r="Q3253" s="4"/>
      <c r="S3253" s="1" t="s">
        <v>411</v>
      </c>
      <c r="T3253" s="4">
        <v>20</v>
      </c>
      <c r="V3253" s="4"/>
      <c r="X3253" s="1" t="s">
        <v>426</v>
      </c>
      <c r="Y3253" s="4">
        <v>450</v>
      </c>
    </row>
    <row r="3254" spans="4:25">
      <c r="D3254" s="1" t="s">
        <v>416</v>
      </c>
      <c r="E3254" s="4">
        <v>8000</v>
      </c>
      <c r="G3254" s="31"/>
      <c r="H3254" s="25"/>
      <c r="J3254" s="31" t="s">
        <v>430</v>
      </c>
      <c r="K3254" s="25"/>
      <c r="L3254" s="25" t="s">
        <v>434</v>
      </c>
      <c r="M3254" s="25"/>
      <c r="P3254" s="1"/>
      <c r="Q3254" s="4"/>
      <c r="S3254" s="1" t="s">
        <v>412</v>
      </c>
      <c r="T3254" s="4">
        <v>0.25</v>
      </c>
      <c r="U3254" s="1" t="s">
        <v>410</v>
      </c>
      <c r="V3254" s="4"/>
      <c r="Y3254" s="4"/>
    </row>
    <row r="3255" spans="4:25">
      <c r="D3255" s="1" t="s">
        <v>417</v>
      </c>
      <c r="E3255" s="4">
        <v>600</v>
      </c>
      <c r="G3255" s="31"/>
      <c r="H3255" s="25"/>
      <c r="J3255" s="31" t="s">
        <v>435</v>
      </c>
      <c r="K3255" s="25"/>
      <c r="L3255" s="25" t="s">
        <v>433</v>
      </c>
      <c r="M3255" s="25"/>
      <c r="P3255" s="1"/>
      <c r="Q3255" s="4"/>
      <c r="S3255" s="1" t="s">
        <v>413</v>
      </c>
      <c r="T3255" s="4">
        <v>2</v>
      </c>
      <c r="U3255" s="4">
        <v>0</v>
      </c>
      <c r="V3255" s="4"/>
      <c r="X3255" s="1"/>
      <c r="Y3255" s="4"/>
    </row>
    <row r="3256" spans="4:25">
      <c r="G3256" s="31"/>
      <c r="H3256" s="25"/>
      <c r="J3256" s="31"/>
      <c r="K3256" s="25"/>
      <c r="L3256" s="25"/>
      <c r="M3256" s="25"/>
      <c r="P3256" s="1"/>
      <c r="Q3256" s="4"/>
      <c r="S3256" s="1" t="s">
        <v>414</v>
      </c>
      <c r="T3256" s="4">
        <v>1</v>
      </c>
      <c r="U3256" s="4">
        <v>0</v>
      </c>
      <c r="V3256" s="4"/>
      <c r="X3256" s="1"/>
      <c r="Y3256" s="4"/>
    </row>
    <row r="3257" spans="4:25">
      <c r="D3257" s="5"/>
      <c r="E3257">
        <v>0</v>
      </c>
      <c r="F3257" s="6">
        <v>0.5</v>
      </c>
      <c r="G3257" s="6">
        <v>1</v>
      </c>
      <c r="H3257" s="6">
        <v>1.4999999999999982</v>
      </c>
      <c r="I3257" s="6">
        <v>1.9999999999999982</v>
      </c>
      <c r="J3257" s="6">
        <v>2.4999999999999982</v>
      </c>
      <c r="K3257" s="6">
        <v>2.9999999999999991</v>
      </c>
      <c r="L3257" s="6">
        <v>3.4999999999999991</v>
      </c>
      <c r="M3257" s="6">
        <v>3.9999999999999991</v>
      </c>
      <c r="N3257" s="6">
        <v>4.4999999999999991</v>
      </c>
      <c r="O3257" s="6">
        <v>4.9999999999999991</v>
      </c>
      <c r="P3257">
        <v>5.4999999999999991</v>
      </c>
      <c r="Q3257">
        <v>5.9999999999999991</v>
      </c>
      <c r="R3257">
        <v>6.5</v>
      </c>
      <c r="S3257">
        <v>7</v>
      </c>
      <c r="T3257">
        <v>7.5</v>
      </c>
      <c r="U3257">
        <v>8</v>
      </c>
      <c r="V3257">
        <v>8.5</v>
      </c>
      <c r="W3257">
        <v>9</v>
      </c>
      <c r="X3257">
        <v>9.5</v>
      </c>
      <c r="Y3257">
        <v>10</v>
      </c>
    </row>
    <row r="3258" spans="4:25">
      <c r="D3258">
        <v>0.5</v>
      </c>
      <c r="E3258">
        <v>0.76996908736744696</v>
      </c>
      <c r="F3258" s="6">
        <v>0.82104915952815916</v>
      </c>
      <c r="G3258" s="6">
        <v>0.88179394477653061</v>
      </c>
      <c r="H3258" s="6">
        <v>0.95403207559320613</v>
      </c>
      <c r="I3258" s="6">
        <v>1.0399381747348939</v>
      </c>
      <c r="J3258" s="6">
        <v>1.1420983190563185</v>
      </c>
      <c r="K3258" s="6">
        <v>1.2635878895530612</v>
      </c>
      <c r="L3258" s="6">
        <v>1.4080641511864125</v>
      </c>
      <c r="M3258" s="6">
        <v>1.5798763494697883</v>
      </c>
      <c r="N3258" s="6">
        <v>1.7841966381126371</v>
      </c>
      <c r="O3258" s="6">
        <v>2.0271757791061229</v>
      </c>
      <c r="P3258">
        <v>2.316128302372825</v>
      </c>
      <c r="Q3258">
        <v>2.659752698939577</v>
      </c>
      <c r="R3258">
        <v>3.0683932762252746</v>
      </c>
      <c r="S3258">
        <v>3.5543515582122458</v>
      </c>
      <c r="T3258">
        <v>4.1322566047456499</v>
      </c>
      <c r="U3258">
        <v>4.819505397879154</v>
      </c>
      <c r="V3258">
        <v>5.63678655245055</v>
      </c>
      <c r="W3258">
        <v>6.6087031164244925</v>
      </c>
      <c r="X3258">
        <v>7.7645132094913025</v>
      </c>
      <c r="Y3258">
        <v>9.1390107957583098</v>
      </c>
    </row>
    <row r="3259" spans="4:25">
      <c r="D3259">
        <f>D3258+0.5</f>
        <v>1</v>
      </c>
      <c r="E3259">
        <v>0.7271036157916243</v>
      </c>
      <c r="F3259" s="6">
        <v>0.77007323574224396</v>
      </c>
      <c r="G3259" s="6">
        <v>0.82117301351648375</v>
      </c>
      <c r="H3259" s="6">
        <v>0.8819412328206675</v>
      </c>
      <c r="I3259" s="6">
        <v>0.95420723158324861</v>
      </c>
      <c r="J3259" s="6">
        <v>1.0401464714844879</v>
      </c>
      <c r="K3259" s="6">
        <v>1.1423460270329677</v>
      </c>
      <c r="L3259" s="6">
        <v>1.2638824656413352</v>
      </c>
      <c r="M3259" s="6">
        <v>1.4084144631664977</v>
      </c>
      <c r="N3259" s="6">
        <v>1.5802929429689763</v>
      </c>
      <c r="O3259" s="6">
        <v>1.7846920540659352</v>
      </c>
      <c r="P3259">
        <v>2.0277649312826709</v>
      </c>
      <c r="Q3259">
        <v>2.3168289263329949</v>
      </c>
      <c r="R3259">
        <v>2.6605858859379521</v>
      </c>
      <c r="S3259">
        <v>3.0693841081318713</v>
      </c>
      <c r="T3259">
        <v>3.5555298625653413</v>
      </c>
      <c r="U3259">
        <v>4.1336578526659906</v>
      </c>
      <c r="V3259">
        <v>4.821171771875906</v>
      </c>
      <c r="W3259">
        <v>5.6387682162637427</v>
      </c>
      <c r="X3259">
        <v>6.6110597251306835</v>
      </c>
      <c r="Y3259">
        <v>7.7673157053319848</v>
      </c>
    </row>
    <row r="3260" spans="4:25">
      <c r="D3260">
        <f t="shared" ref="D3260:D3297" si="170">D3259+0.5</f>
        <v>1.5</v>
      </c>
      <c r="E3260">
        <v>0.69107476478513075</v>
      </c>
      <c r="F3260" s="6">
        <v>0.7272274697799489</v>
      </c>
      <c r="G3260" s="6">
        <v>0.77022052378638095</v>
      </c>
      <c r="H3260" s="6">
        <v>0.82134816950652623</v>
      </c>
      <c r="I3260" s="6">
        <v>0.88214952957026149</v>
      </c>
      <c r="J3260" s="6">
        <v>0.95445493955989769</v>
      </c>
      <c r="K3260" s="6">
        <v>1.0404410475727621</v>
      </c>
      <c r="L3260" s="6">
        <v>1.1426963390130527</v>
      </c>
      <c r="M3260" s="6">
        <v>1.2642990591405232</v>
      </c>
      <c r="N3260" s="6">
        <v>1.4089098791197956</v>
      </c>
      <c r="O3260" s="6">
        <v>1.5808820951455242</v>
      </c>
      <c r="P3260">
        <v>1.7853926780261054</v>
      </c>
      <c r="Q3260">
        <v>2.0285981182810464</v>
      </c>
      <c r="R3260">
        <v>2.3178197582395916</v>
      </c>
      <c r="S3260">
        <v>2.6617641902910485</v>
      </c>
      <c r="T3260">
        <v>3.0707853560522107</v>
      </c>
      <c r="U3260">
        <v>3.5571962365620928</v>
      </c>
      <c r="V3260">
        <v>4.1356395164791842</v>
      </c>
      <c r="W3260">
        <v>4.823528380582097</v>
      </c>
      <c r="X3260">
        <v>5.641570712104425</v>
      </c>
      <c r="Y3260">
        <v>6.6143924731241874</v>
      </c>
    </row>
    <row r="3261" spans="4:25">
      <c r="D3261">
        <f t="shared" si="170"/>
        <v>2</v>
      </c>
      <c r="E3261">
        <v>0.66079793874158765</v>
      </c>
      <c r="F3261" s="6">
        <v>0.69122205282926774</v>
      </c>
      <c r="G3261" s="6">
        <v>0.72740262576999137</v>
      </c>
      <c r="H3261" s="6">
        <v>0.77042882053597483</v>
      </c>
      <c r="I3261" s="6">
        <v>0.82159587748317531</v>
      </c>
      <c r="J3261" s="6">
        <v>0.88244410565853537</v>
      </c>
      <c r="K3261" s="6">
        <v>0.95480525153998297</v>
      </c>
      <c r="L3261" s="6">
        <v>1.0408576410719501</v>
      </c>
      <c r="M3261" s="6">
        <v>1.1431917549663506</v>
      </c>
      <c r="N3261" s="6">
        <v>1.2648882113170712</v>
      </c>
      <c r="O3261" s="6">
        <v>1.4096105030799659</v>
      </c>
      <c r="P3261">
        <v>1.5817152821438998</v>
      </c>
      <c r="Q3261">
        <v>1.7863835099327017</v>
      </c>
      <c r="R3261">
        <v>2.0297764226341424</v>
      </c>
      <c r="S3261">
        <v>2.3192210061599319</v>
      </c>
      <c r="T3261">
        <v>2.6634305642877996</v>
      </c>
      <c r="U3261">
        <v>3.0727670198654033</v>
      </c>
      <c r="V3261">
        <v>3.5595528452682856</v>
      </c>
      <c r="W3261">
        <v>4.1384420123198646</v>
      </c>
      <c r="X3261">
        <v>4.8268611285756009</v>
      </c>
      <c r="Y3261">
        <v>5.6455340397308076</v>
      </c>
    </row>
    <row r="3262" spans="4:25">
      <c r="D3262">
        <f t="shared" si="170"/>
        <v>2.5</v>
      </c>
      <c r="E3262">
        <v>0.63536169831212441</v>
      </c>
      <c r="F3262" s="6">
        <v>0.66097309473163013</v>
      </c>
      <c r="G3262" s="6">
        <v>0.69143034957886162</v>
      </c>
      <c r="H3262" s="6">
        <v>0.72765033374664045</v>
      </c>
      <c r="I3262" s="6">
        <v>0.77072339662424882</v>
      </c>
      <c r="J3262" s="6">
        <v>0.82194618946326048</v>
      </c>
      <c r="K3262" s="6">
        <v>0.88286069915772347</v>
      </c>
      <c r="L3262" s="6">
        <v>0.95530066749328102</v>
      </c>
      <c r="M3262" s="6">
        <v>1.0414467932484979</v>
      </c>
      <c r="N3262" s="6">
        <v>1.143892378926521</v>
      </c>
      <c r="O3262" s="6">
        <v>1.2657213983154469</v>
      </c>
      <c r="P3262">
        <v>1.4106013349865623</v>
      </c>
      <c r="Q3262">
        <v>1.5828935864969957</v>
      </c>
      <c r="R3262">
        <v>1.7877847578530421</v>
      </c>
      <c r="S3262">
        <v>2.0314427966308939</v>
      </c>
      <c r="T3262">
        <v>2.3212026699731241</v>
      </c>
      <c r="U3262">
        <v>2.6657871729939919</v>
      </c>
      <c r="V3262">
        <v>3.0755695157060852</v>
      </c>
      <c r="W3262">
        <v>3.5628855932617887</v>
      </c>
      <c r="X3262">
        <v>4.1424053399462499</v>
      </c>
      <c r="Y3262">
        <v>4.8315743459879847</v>
      </c>
    </row>
    <row r="3263" spans="4:25">
      <c r="D3263">
        <f t="shared" si="170"/>
        <v>3</v>
      </c>
      <c r="E3263">
        <v>0.6140003228633627</v>
      </c>
      <c r="F3263" s="6">
        <v>0.63556999506171841</v>
      </c>
      <c r="G3263" s="6">
        <v>0.66122080270827932</v>
      </c>
      <c r="H3263" s="6">
        <v>0.69172492566713562</v>
      </c>
      <c r="I3263" s="6">
        <v>0.72800064572672563</v>
      </c>
      <c r="J3263" s="6">
        <v>0.77113999012343681</v>
      </c>
      <c r="K3263" s="6">
        <v>0.82244160541655864</v>
      </c>
      <c r="L3263" s="6">
        <v>0.88344985133427145</v>
      </c>
      <c r="M3263" s="6">
        <v>0.95600129145345125</v>
      </c>
      <c r="N3263" s="6">
        <v>1.0422799802468736</v>
      </c>
      <c r="O3263" s="6">
        <v>1.1448832108331173</v>
      </c>
      <c r="P3263">
        <v>1.2668997026685429</v>
      </c>
      <c r="Q3263">
        <v>1.4120025829069025</v>
      </c>
      <c r="R3263">
        <v>1.5845599604937475</v>
      </c>
      <c r="S3263">
        <v>1.7897664216662346</v>
      </c>
      <c r="T3263">
        <v>2.0337994053370858</v>
      </c>
      <c r="U3263">
        <v>2.3240051658138055</v>
      </c>
      <c r="V3263">
        <v>2.6691199209874954</v>
      </c>
      <c r="W3263">
        <v>3.0795328433324696</v>
      </c>
      <c r="X3263">
        <v>3.5675988106741725</v>
      </c>
      <c r="Y3263">
        <v>4.1480103316276118</v>
      </c>
    </row>
    <row r="3264" spans="4:25">
      <c r="D3264">
        <f t="shared" si="170"/>
        <v>3.5</v>
      </c>
      <c r="E3264">
        <v>0.5960707595831618</v>
      </c>
      <c r="F3264" s="6">
        <v>0.61424803084001178</v>
      </c>
      <c r="G3264" s="6">
        <v>0.6358645711499924</v>
      </c>
      <c r="H3264" s="6">
        <v>0.66157111468836438</v>
      </c>
      <c r="I3264" s="6">
        <v>0.6921415191663236</v>
      </c>
      <c r="J3264" s="6">
        <v>0.72849606168002368</v>
      </c>
      <c r="K3264" s="6">
        <v>0.77172914229998479</v>
      </c>
      <c r="L3264" s="6">
        <v>0.82314222937672876</v>
      </c>
      <c r="M3264" s="6">
        <v>0.88428303833264721</v>
      </c>
      <c r="N3264" s="6">
        <v>0.95699212336004758</v>
      </c>
      <c r="O3264" s="6">
        <v>1.0434582845999696</v>
      </c>
      <c r="P3264">
        <v>1.1462844587534575</v>
      </c>
      <c r="Q3264">
        <v>1.2685660766652944</v>
      </c>
      <c r="R3264">
        <v>1.4139842467200949</v>
      </c>
      <c r="S3264">
        <v>1.5869165691999396</v>
      </c>
      <c r="T3264">
        <v>1.7925689175069155</v>
      </c>
      <c r="U3264">
        <v>2.0371321533305888</v>
      </c>
      <c r="V3264">
        <v>2.3279684934401907</v>
      </c>
      <c r="W3264">
        <v>2.6738331383998792</v>
      </c>
      <c r="X3264">
        <v>3.0851378350138319</v>
      </c>
      <c r="Y3264">
        <v>3.5742643066611794</v>
      </c>
    </row>
    <row r="3265" spans="4:25">
      <c r="D3265">
        <f t="shared" si="170"/>
        <v>4</v>
      </c>
      <c r="E3265">
        <v>0.58103326532083122</v>
      </c>
      <c r="F3265" s="6">
        <v>0.59636533567143568</v>
      </c>
      <c r="G3265" s="6">
        <v>0.61459834282009695</v>
      </c>
      <c r="H3265" s="6">
        <v>0.63628116464918028</v>
      </c>
      <c r="I3265" s="6">
        <v>0.66206653064166243</v>
      </c>
      <c r="J3265" s="6">
        <v>0.69273067134287158</v>
      </c>
      <c r="K3265" s="6">
        <v>0.72919668564019391</v>
      </c>
      <c r="L3265" s="6">
        <v>0.77256232929836055</v>
      </c>
      <c r="M3265" s="6">
        <v>0.82413306128332509</v>
      </c>
      <c r="N3265" s="6">
        <v>0.88546134268574317</v>
      </c>
      <c r="O3265" s="6">
        <v>0.95839337128038782</v>
      </c>
      <c r="P3265">
        <v>1.0451246585967211</v>
      </c>
      <c r="Q3265">
        <v>1.1482661225666502</v>
      </c>
      <c r="R3265">
        <v>1.2709226853714863</v>
      </c>
      <c r="S3265">
        <v>1.4167867425607761</v>
      </c>
      <c r="T3265">
        <v>1.5902493171934426</v>
      </c>
      <c r="U3265">
        <v>1.7965322451333003</v>
      </c>
      <c r="V3265">
        <v>2.0418453707429731</v>
      </c>
      <c r="W3265">
        <v>2.3335734851215517</v>
      </c>
      <c r="X3265">
        <v>2.6804986343868853</v>
      </c>
      <c r="Y3265">
        <v>3.0930644902666016</v>
      </c>
    </row>
    <row r="3266" spans="4:25">
      <c r="D3266">
        <f t="shared" si="170"/>
        <v>4.5</v>
      </c>
      <c r="E3266">
        <v>0.56843515841286407</v>
      </c>
      <c r="F3266" s="6">
        <v>0.58138357730091639</v>
      </c>
      <c r="G3266" s="6">
        <v>0.59678192917062378</v>
      </c>
      <c r="H3266" s="6">
        <v>0.61509375877339501</v>
      </c>
      <c r="I3266" s="6">
        <v>0.63687031682572826</v>
      </c>
      <c r="J3266" s="6">
        <v>0.66276715460183266</v>
      </c>
      <c r="K3266" s="6">
        <v>0.69356385834124734</v>
      </c>
      <c r="L3266" s="6">
        <v>0.73018751754679023</v>
      </c>
      <c r="M3266" s="6">
        <v>0.77374063365145651</v>
      </c>
      <c r="N3266" s="6">
        <v>0.82553430920366544</v>
      </c>
      <c r="O3266" s="6">
        <v>0.88712771668249479</v>
      </c>
      <c r="P3266">
        <v>0.96037503509358046</v>
      </c>
      <c r="Q3266">
        <v>1.0474812673029132</v>
      </c>
      <c r="R3266">
        <v>1.1510686184073311</v>
      </c>
      <c r="S3266">
        <v>1.2742554333649898</v>
      </c>
      <c r="T3266">
        <v>1.4207500701871609</v>
      </c>
      <c r="U3266">
        <v>1.5949625346058265</v>
      </c>
      <c r="V3266">
        <v>1.8021372368146626</v>
      </c>
      <c r="W3266">
        <v>2.0485108667299796</v>
      </c>
      <c r="X3266">
        <v>2.3415001403743223</v>
      </c>
      <c r="Y3266">
        <v>2.6899250692116539</v>
      </c>
    </row>
    <row r="3267" spans="4:25">
      <c r="D3267">
        <f t="shared" si="170"/>
        <v>5</v>
      </c>
      <c r="E3267">
        <v>0.55789719136678273</v>
      </c>
      <c r="F3267" s="6">
        <v>0.56885175191205206</v>
      </c>
      <c r="G3267" s="6">
        <v>0.58187899325421444</v>
      </c>
      <c r="H3267" s="6">
        <v>0.59737108134717165</v>
      </c>
      <c r="I3267" s="6">
        <v>0.61579438273356524</v>
      </c>
      <c r="J3267" s="6">
        <v>0.63770350382410401</v>
      </c>
      <c r="K3267" s="6">
        <v>0.6637579865084291</v>
      </c>
      <c r="L3267" s="6">
        <v>0.6947421626943433</v>
      </c>
      <c r="M3267" s="6">
        <v>0.73158876546713059</v>
      </c>
      <c r="N3267" s="6">
        <v>0.77540700764820825</v>
      </c>
      <c r="O3267" s="6">
        <v>0.82751597301685798</v>
      </c>
      <c r="P3267">
        <v>0.88948432538868683</v>
      </c>
      <c r="Q3267">
        <v>0.96317753093426128</v>
      </c>
      <c r="R3267">
        <v>1.0508140152964165</v>
      </c>
      <c r="S3267">
        <v>1.1550319460337162</v>
      </c>
      <c r="T3267">
        <v>1.2789686507773737</v>
      </c>
      <c r="U3267">
        <v>1.4263550618685223</v>
      </c>
      <c r="V3267">
        <v>1.6016280305928334</v>
      </c>
      <c r="W3267">
        <v>1.8100638920674323</v>
      </c>
      <c r="X3267">
        <v>2.0579373015547477</v>
      </c>
      <c r="Y3267">
        <v>2.3527101237370456</v>
      </c>
    </row>
    <row r="3268" spans="4:25">
      <c r="D3268">
        <f t="shared" si="170"/>
        <v>5.5</v>
      </c>
      <c r="E3268">
        <v>0.54910213417277376</v>
      </c>
      <c r="F3268" s="6">
        <v>0.55839260732008078</v>
      </c>
      <c r="G3268" s="6">
        <v>0.56944090408860004</v>
      </c>
      <c r="H3268" s="6">
        <v>0.58257961721438467</v>
      </c>
      <c r="I3268" s="6">
        <v>0.59820426834554741</v>
      </c>
      <c r="J3268" s="6">
        <v>0.61678521464016156</v>
      </c>
      <c r="K3268" s="6">
        <v>0.63888180817720008</v>
      </c>
      <c r="L3268" s="6">
        <v>0.66515923442876934</v>
      </c>
      <c r="M3268" s="6">
        <v>0.69640853669109493</v>
      </c>
      <c r="N3268" s="6">
        <v>0.73357042928032312</v>
      </c>
      <c r="O3268" s="6">
        <v>0.77776361635440017</v>
      </c>
      <c r="P3268">
        <v>0.8303184688575389</v>
      </c>
      <c r="Q3268">
        <v>0.89281707338218985</v>
      </c>
      <c r="R3268">
        <v>0.96714085856064635</v>
      </c>
      <c r="S3268">
        <v>1.0555272327088003</v>
      </c>
      <c r="T3268">
        <v>1.1606369377150778</v>
      </c>
      <c r="U3268">
        <v>1.2856341467643801</v>
      </c>
      <c r="V3268">
        <v>1.4342817171212929</v>
      </c>
      <c r="W3268">
        <v>1.6110544654176011</v>
      </c>
      <c r="X3268">
        <v>1.8212738754301561</v>
      </c>
      <c r="Y3268">
        <v>2.0712682935287603</v>
      </c>
    </row>
    <row r="3269" spans="4:25">
      <c r="D3269">
        <f t="shared" si="170"/>
        <v>6</v>
      </c>
      <c r="E3269">
        <v>0.54178522456049039</v>
      </c>
      <c r="F3269" s="6">
        <v>0.54969128634932174</v>
      </c>
      <c r="G3269" s="6">
        <v>0.55909323128025101</v>
      </c>
      <c r="H3269" s="6">
        <v>0.5702740910869758</v>
      </c>
      <c r="I3269" s="6">
        <v>0.58357044912098099</v>
      </c>
      <c r="J3269" s="6">
        <v>0.59938257269864337</v>
      </c>
      <c r="K3269" s="6">
        <v>0.61818646256050191</v>
      </c>
      <c r="L3269" s="6">
        <v>0.64054818217395171</v>
      </c>
      <c r="M3269" s="6">
        <v>0.66714089824196188</v>
      </c>
      <c r="N3269" s="6">
        <v>0.69876514539728696</v>
      </c>
      <c r="O3269" s="6">
        <v>0.73637292512100405</v>
      </c>
      <c r="P3269">
        <v>0.78109636434790342</v>
      </c>
      <c r="Q3269">
        <v>0.83428179648392398</v>
      </c>
      <c r="R3269">
        <v>0.89753029079457392</v>
      </c>
      <c r="S3269">
        <v>0.9727458502420081</v>
      </c>
      <c r="T3269">
        <v>1.0621927286958068</v>
      </c>
      <c r="U3269">
        <v>1.168563592967848</v>
      </c>
      <c r="V3269">
        <v>1.2950605815891481</v>
      </c>
      <c r="W3269">
        <v>1.4454917004840162</v>
      </c>
      <c r="X3269">
        <v>1.6243854573916139</v>
      </c>
      <c r="Y3269">
        <v>1.8371271859356961</v>
      </c>
    </row>
    <row r="3270" spans="4:25">
      <c r="D3270">
        <f t="shared" si="170"/>
        <v>6.5</v>
      </c>
      <c r="E3270">
        <v>0.53572619772003593</v>
      </c>
      <c r="F3270" s="6">
        <v>0.54248584852066062</v>
      </c>
      <c r="G3270" s="6">
        <v>0.5505244733476975</v>
      </c>
      <c r="H3270" s="6">
        <v>0.56008406318684734</v>
      </c>
      <c r="I3270" s="6">
        <v>0.57145239544007176</v>
      </c>
      <c r="J3270" s="6">
        <v>0.58497169704132135</v>
      </c>
      <c r="K3270" s="6">
        <v>0.60104894669539499</v>
      </c>
      <c r="L3270" s="6">
        <v>0.62016812637369445</v>
      </c>
      <c r="M3270" s="6">
        <v>0.64290479088014374</v>
      </c>
      <c r="N3270" s="6">
        <v>0.66994339408264292</v>
      </c>
      <c r="O3270" s="6">
        <v>0.7020978933907901</v>
      </c>
      <c r="P3270">
        <v>0.74033625274738912</v>
      </c>
      <c r="Q3270">
        <v>0.78580958176028737</v>
      </c>
      <c r="R3270">
        <v>0.83988678816528561</v>
      </c>
      <c r="S3270">
        <v>0.90419578678158041</v>
      </c>
      <c r="T3270">
        <v>0.98067250549477814</v>
      </c>
      <c r="U3270">
        <v>1.0716191635205747</v>
      </c>
      <c r="V3270">
        <v>1.1797735763305714</v>
      </c>
      <c r="W3270">
        <v>1.3083915735631608</v>
      </c>
      <c r="X3270">
        <v>1.4613450109895565</v>
      </c>
      <c r="Y3270">
        <v>1.6432383270411497</v>
      </c>
    </row>
    <row r="3271" spans="4:25">
      <c r="D3271">
        <f t="shared" si="170"/>
        <v>7</v>
      </c>
      <c r="E3271">
        <v>0.53074265555359379</v>
      </c>
      <c r="F3271" s="6">
        <v>0.53655938471841169</v>
      </c>
      <c r="G3271" s="6">
        <v>0.54347668042725705</v>
      </c>
      <c r="H3271" s="6">
        <v>0.55170277770079346</v>
      </c>
      <c r="I3271" s="6">
        <v>0.56148531110718769</v>
      </c>
      <c r="J3271" s="6">
        <v>0.57311876943682338</v>
      </c>
      <c r="K3271" s="6">
        <v>0.58695336085451388</v>
      </c>
      <c r="L3271" s="6">
        <v>0.60340555540158702</v>
      </c>
      <c r="M3271" s="6">
        <v>0.62297062221437538</v>
      </c>
      <c r="N3271" s="6">
        <v>0.64623753887364677</v>
      </c>
      <c r="O3271" s="6">
        <v>0.67390672170902788</v>
      </c>
      <c r="P3271">
        <v>0.70681111080317416</v>
      </c>
      <c r="Q3271">
        <v>0.74594124442875065</v>
      </c>
      <c r="R3271">
        <v>0.79247507774729375</v>
      </c>
      <c r="S3271">
        <v>0.84781344341805576</v>
      </c>
      <c r="T3271">
        <v>0.91362222160634821</v>
      </c>
      <c r="U3271">
        <v>0.99188248885750163</v>
      </c>
      <c r="V3271">
        <v>1.0849501554945875</v>
      </c>
      <c r="W3271">
        <v>1.1956268868361115</v>
      </c>
      <c r="X3271">
        <v>1.3272444432126966</v>
      </c>
      <c r="Y3271">
        <v>1.4837649777150035</v>
      </c>
    </row>
    <row r="3272" spans="4:25">
      <c r="D3272">
        <f t="shared" si="170"/>
        <v>7.5</v>
      </c>
      <c r="E3272">
        <v>0.5266845758487726</v>
      </c>
      <c r="F3272" s="6">
        <v>0.53173348746019011</v>
      </c>
      <c r="G3272" s="6">
        <v>0.53773768907150765</v>
      </c>
      <c r="H3272" s="6">
        <v>0.5448779283475973</v>
      </c>
      <c r="I3272" s="6">
        <v>0.55336915169754508</v>
      </c>
      <c r="J3272" s="6">
        <v>0.56346697492038011</v>
      </c>
      <c r="K3272" s="6">
        <v>0.57547537814301541</v>
      </c>
      <c r="L3272" s="6">
        <v>0.58975585669519481</v>
      </c>
      <c r="M3272" s="6">
        <v>0.60673830339509016</v>
      </c>
      <c r="N3272" s="6">
        <v>0.62693394984076045</v>
      </c>
      <c r="O3272" s="6">
        <v>0.65095075628603083</v>
      </c>
      <c r="P3272">
        <v>0.67951171339038963</v>
      </c>
      <c r="Q3272">
        <v>0.71347660679018055</v>
      </c>
      <c r="R3272">
        <v>0.7538678996815209</v>
      </c>
      <c r="S3272">
        <v>0.80190151257206166</v>
      </c>
      <c r="T3272">
        <v>0.85902342678077925</v>
      </c>
      <c r="U3272">
        <v>0.92695321358036109</v>
      </c>
      <c r="V3272">
        <v>1.0077357993630418</v>
      </c>
      <c r="W3272">
        <v>1.1038030251441233</v>
      </c>
      <c r="X3272">
        <v>1.2180468535615585</v>
      </c>
      <c r="Y3272">
        <v>1.3539064271607224</v>
      </c>
    </row>
    <row r="3273" spans="4:25">
      <c r="D3273">
        <f t="shared" si="170"/>
        <v>8</v>
      </c>
      <c r="E3273">
        <v>0.52342979608039497</v>
      </c>
      <c r="F3273" s="6">
        <v>0.52786288020186856</v>
      </c>
      <c r="G3273" s="6">
        <v>0.53313473538053047</v>
      </c>
      <c r="H3273" s="6">
        <v>0.53940406306825928</v>
      </c>
      <c r="I3273" s="6">
        <v>0.54685959216078983</v>
      </c>
      <c r="J3273" s="6">
        <v>0.55572576040373711</v>
      </c>
      <c r="K3273" s="6">
        <v>0.56626947076106116</v>
      </c>
      <c r="L3273" s="6">
        <v>0.57880812613651855</v>
      </c>
      <c r="M3273" s="6">
        <v>0.59371918432157988</v>
      </c>
      <c r="N3273" s="6">
        <v>0.61145152080747422</v>
      </c>
      <c r="O3273" s="6">
        <v>0.63253894152212209</v>
      </c>
      <c r="P3273">
        <v>0.65761625227303733</v>
      </c>
      <c r="Q3273">
        <v>0.68743836864315966</v>
      </c>
      <c r="R3273">
        <v>0.72290304161494845</v>
      </c>
      <c r="S3273">
        <v>0.7650778830442444</v>
      </c>
      <c r="T3273">
        <v>0.81523250454607454</v>
      </c>
      <c r="U3273">
        <v>0.87487673728631943</v>
      </c>
      <c r="V3273">
        <v>0.94580608322989701</v>
      </c>
      <c r="W3273">
        <v>1.0301557660884888</v>
      </c>
      <c r="X3273">
        <v>1.1304650090921493</v>
      </c>
      <c r="Y3273">
        <v>1.2497534745726391</v>
      </c>
    </row>
    <row r="3274" spans="4:25">
      <c r="D3274">
        <f t="shared" si="170"/>
        <v>8.5</v>
      </c>
      <c r="E3274">
        <v>0.5208803358872256</v>
      </c>
      <c r="F3274" s="6">
        <v>0.52483104400073533</v>
      </c>
      <c r="G3274" s="6">
        <v>0.52952925419862018</v>
      </c>
      <c r="H3274" s="6">
        <v>0.535116399193723</v>
      </c>
      <c r="I3274" s="6">
        <v>0.54176067177445131</v>
      </c>
      <c r="J3274" s="6">
        <v>0.54966208800147076</v>
      </c>
      <c r="K3274" s="6">
        <v>0.55905850839724025</v>
      </c>
      <c r="L3274" s="6">
        <v>0.57023279838744623</v>
      </c>
      <c r="M3274" s="6">
        <v>0.58352134354890262</v>
      </c>
      <c r="N3274" s="6">
        <v>0.59932417600294152</v>
      </c>
      <c r="O3274" s="6">
        <v>0.61811701679448061</v>
      </c>
      <c r="P3274">
        <v>0.64046559677489223</v>
      </c>
      <c r="Q3274">
        <v>0.66704268709780523</v>
      </c>
      <c r="R3274">
        <v>0.69864835200588316</v>
      </c>
      <c r="S3274">
        <v>0.73623403358896133</v>
      </c>
      <c r="T3274">
        <v>0.78093119354978457</v>
      </c>
      <c r="U3274">
        <v>0.83408537419561046</v>
      </c>
      <c r="V3274">
        <v>0.89729670401176642</v>
      </c>
      <c r="W3274">
        <v>0.97246806717792267</v>
      </c>
      <c r="X3274">
        <v>1.0618623870995694</v>
      </c>
      <c r="Y3274">
        <v>1.1681707483912209</v>
      </c>
    </row>
    <row r="3275" spans="4:25">
      <c r="D3275">
        <f t="shared" si="170"/>
        <v>9</v>
      </c>
      <c r="E3275">
        <v>0.51895944751720191</v>
      </c>
      <c r="F3275" s="6">
        <v>0.52254670988397722</v>
      </c>
      <c r="G3275" s="6">
        <v>0.52681270781392786</v>
      </c>
      <c r="H3275" s="6">
        <v>0.53188586290481221</v>
      </c>
      <c r="I3275" s="6">
        <v>0.53791889503440393</v>
      </c>
      <c r="J3275" s="6">
        <v>0.54509341976795445</v>
      </c>
      <c r="K3275" s="6">
        <v>0.55362541562785594</v>
      </c>
      <c r="L3275" s="6">
        <v>0.56377172580962431</v>
      </c>
      <c r="M3275" s="6">
        <v>0.57583779006880786</v>
      </c>
      <c r="N3275" s="6">
        <v>0.590186839535909</v>
      </c>
      <c r="O3275" s="6">
        <v>0.60725083125571166</v>
      </c>
      <c r="P3275">
        <v>0.62754345161924863</v>
      </c>
      <c r="Q3275">
        <v>0.65167558013761573</v>
      </c>
      <c r="R3275">
        <v>0.680373679071818</v>
      </c>
      <c r="S3275">
        <v>0.71450166251142333</v>
      </c>
      <c r="T3275">
        <v>0.75508690323849714</v>
      </c>
      <c r="U3275">
        <v>0.80335116027523157</v>
      </c>
      <c r="V3275">
        <v>0.86074735814363623</v>
      </c>
      <c r="W3275">
        <v>0.92900332502284688</v>
      </c>
      <c r="X3275">
        <v>1.0101738064769945</v>
      </c>
      <c r="Y3275">
        <v>1.1067023205504631</v>
      </c>
    </row>
    <row r="3276" spans="4:25">
      <c r="D3276">
        <f t="shared" si="170"/>
        <v>9.5</v>
      </c>
      <c r="E3276">
        <v>0.51760930544915762</v>
      </c>
      <c r="F3276" s="6">
        <v>0.52094111133039445</v>
      </c>
      <c r="G3276" s="6">
        <v>0.52490331859016925</v>
      </c>
      <c r="H3276" s="6">
        <v>0.52961520365460879</v>
      </c>
      <c r="I3276" s="6">
        <v>0.53521861089831535</v>
      </c>
      <c r="J3276" s="6">
        <v>0.541882222660789</v>
      </c>
      <c r="K3276" s="6">
        <v>0.54980663718033851</v>
      </c>
      <c r="L3276" s="6">
        <v>0.55923040730921758</v>
      </c>
      <c r="M3276" s="6">
        <v>0.5704372217966307</v>
      </c>
      <c r="N3276" s="6">
        <v>0.58376444532157801</v>
      </c>
      <c r="O3276" s="6">
        <v>0.59961327436067691</v>
      </c>
      <c r="P3276">
        <v>0.61846081461843516</v>
      </c>
      <c r="Q3276">
        <v>0.6408744435932614</v>
      </c>
      <c r="R3276">
        <v>0.6675288906431559</v>
      </c>
      <c r="S3276">
        <v>0.69922654872135392</v>
      </c>
      <c r="T3276">
        <v>0.73692162923687032</v>
      </c>
      <c r="U3276">
        <v>0.78174888718652291</v>
      </c>
      <c r="V3276">
        <v>0.83505778128631203</v>
      </c>
      <c r="W3276">
        <v>0.89845309744270785</v>
      </c>
      <c r="X3276">
        <v>0.97384325847374076</v>
      </c>
      <c r="Y3276">
        <v>1.0634977743730458</v>
      </c>
    </row>
    <row r="3277" spans="4:25">
      <c r="D3277">
        <f t="shared" si="170"/>
        <v>10</v>
      </c>
      <c r="E3277">
        <v>0.51678926564049688</v>
      </c>
      <c r="F3277" s="6">
        <v>0.51996591415534965</v>
      </c>
      <c r="G3277" s="6">
        <v>0.52374360717107538</v>
      </c>
      <c r="H3277" s="6">
        <v>0.52823606658367239</v>
      </c>
      <c r="I3277" s="6">
        <v>0.53357853128099386</v>
      </c>
      <c r="J3277" s="6">
        <v>0.5399318283106993</v>
      </c>
      <c r="K3277" s="6">
        <v>0.54748721434215064</v>
      </c>
      <c r="L3277" s="6">
        <v>0.5564721331673449</v>
      </c>
      <c r="M3277" s="6">
        <v>0.56715706256198761</v>
      </c>
      <c r="N3277" s="6">
        <v>0.5798636566213986</v>
      </c>
      <c r="O3277" s="6">
        <v>0.5949744286843015</v>
      </c>
      <c r="P3277">
        <v>0.61294426633468979</v>
      </c>
      <c r="Q3277">
        <v>0.63431412512397534</v>
      </c>
      <c r="R3277">
        <v>0.65972731324279721</v>
      </c>
      <c r="S3277">
        <v>0.6899488573686029</v>
      </c>
      <c r="T3277">
        <v>0.72588853266937958</v>
      </c>
      <c r="U3277">
        <v>0.76862825024795078</v>
      </c>
      <c r="V3277">
        <v>0.81945462648559464</v>
      </c>
      <c r="W3277">
        <v>0.8798977147372059</v>
      </c>
      <c r="X3277">
        <v>0.95177706533875928</v>
      </c>
      <c r="Y3277">
        <v>1.0372565004959018</v>
      </c>
    </row>
    <row r="3278" spans="4:25">
      <c r="D3278">
        <f t="shared" si="170"/>
        <v>10.5</v>
      </c>
      <c r="E3278">
        <v>0.51647464199802817</v>
      </c>
      <c r="F3278" s="6">
        <v>0.51959176148117781</v>
      </c>
      <c r="G3278" s="6">
        <v>0.52329866214885279</v>
      </c>
      <c r="H3278" s="6">
        <v>0.52770693479746045</v>
      </c>
      <c r="I3278" s="6">
        <v>0.53294928399605646</v>
      </c>
      <c r="J3278" s="6">
        <v>0.5391835229623555</v>
      </c>
      <c r="K3278" s="6">
        <v>0.5465973242977058</v>
      </c>
      <c r="L3278" s="6">
        <v>0.55541386959492078</v>
      </c>
      <c r="M3278" s="6">
        <v>0.5658985679921128</v>
      </c>
      <c r="N3278" s="6">
        <v>0.57836704592471111</v>
      </c>
      <c r="O3278" s="6">
        <v>0.59319464859541149</v>
      </c>
      <c r="P3278">
        <v>0.61082773918984168</v>
      </c>
      <c r="Q3278">
        <v>0.6317971359842256</v>
      </c>
      <c r="R3278">
        <v>0.65673409184942233</v>
      </c>
      <c r="S3278">
        <v>0.68638929719082298</v>
      </c>
      <c r="T3278">
        <v>0.72165547837968336</v>
      </c>
      <c r="U3278">
        <v>0.76359427196845131</v>
      </c>
      <c r="V3278">
        <v>0.81346818369884466</v>
      </c>
      <c r="W3278">
        <v>0.87277859438164607</v>
      </c>
      <c r="X3278">
        <v>0.94331095675936683</v>
      </c>
      <c r="Y3278">
        <v>1.0271885439369028</v>
      </c>
    </row>
    <row r="3279" spans="4:25">
      <c r="D3279">
        <f t="shared" si="170"/>
        <v>11</v>
      </c>
      <c r="E3279">
        <v>0.5166559632394111</v>
      </c>
      <c r="F3279" s="6">
        <v>0.51980738999153131</v>
      </c>
      <c r="G3279" s="6">
        <v>0.52355508910756288</v>
      </c>
      <c r="H3279" s="6">
        <v>0.52801187956123685</v>
      </c>
      <c r="I3279" s="6">
        <v>0.53331192647882208</v>
      </c>
      <c r="J3279" s="6">
        <v>0.53961477998306284</v>
      </c>
      <c r="K3279" s="6">
        <v>0.54711017821512564</v>
      </c>
      <c r="L3279" s="6">
        <v>0.5560237591224737</v>
      </c>
      <c r="M3279" s="6">
        <v>0.56662385295764428</v>
      </c>
      <c r="N3279" s="6">
        <v>0.57922955996612568</v>
      </c>
      <c r="O3279" s="6">
        <v>0.59422035643025128</v>
      </c>
      <c r="P3279">
        <v>0.6120475182449473</v>
      </c>
      <c r="Q3279">
        <v>0.63324770591528856</v>
      </c>
      <c r="R3279">
        <v>0.65845911993225137</v>
      </c>
      <c r="S3279">
        <v>0.68844071286050279</v>
      </c>
      <c r="T3279">
        <v>0.72409503648989471</v>
      </c>
      <c r="U3279">
        <v>0.76649541183057723</v>
      </c>
      <c r="V3279">
        <v>0.81691823986450274</v>
      </c>
      <c r="W3279">
        <v>0.87688142572100558</v>
      </c>
      <c r="X3279">
        <v>0.94819007297978952</v>
      </c>
      <c r="Y3279">
        <v>1.0329908236611545</v>
      </c>
    </row>
    <row r="3280" spans="4:25">
      <c r="D3280">
        <f t="shared" si="170"/>
        <v>11.5</v>
      </c>
      <c r="E3280">
        <v>0.51733868777412162</v>
      </c>
      <c r="F3280" s="6">
        <v>0.52061929086579617</v>
      </c>
      <c r="G3280" s="6">
        <v>0.52452060740391537</v>
      </c>
      <c r="H3280" s="6">
        <v>0.52916008078892451</v>
      </c>
      <c r="I3280" s="6">
        <v>0.53467737554824324</v>
      </c>
      <c r="J3280" s="6">
        <v>0.54123858173159223</v>
      </c>
      <c r="K3280" s="6">
        <v>0.54904121480783075</v>
      </c>
      <c r="L3280" s="6">
        <v>0.55832016157784914</v>
      </c>
      <c r="M3280" s="6">
        <v>0.56935475109648659</v>
      </c>
      <c r="N3280" s="6">
        <v>0.58247716346318446</v>
      </c>
      <c r="O3280" s="6">
        <v>0.59808242961566149</v>
      </c>
      <c r="P3280">
        <v>0.61664032315569828</v>
      </c>
      <c r="Q3280">
        <v>0.63870950219297307</v>
      </c>
      <c r="R3280">
        <v>0.66495432692636913</v>
      </c>
      <c r="S3280">
        <v>0.69616485923132299</v>
      </c>
      <c r="T3280">
        <v>0.73328064631139667</v>
      </c>
      <c r="U3280">
        <v>0.77741900438594613</v>
      </c>
      <c r="V3280">
        <v>0.82990865385273815</v>
      </c>
      <c r="W3280">
        <v>0.89232971846264619</v>
      </c>
      <c r="X3280">
        <v>0.96656129262279333</v>
      </c>
      <c r="Y3280">
        <v>1.0548380087718925</v>
      </c>
    </row>
    <row r="3281" spans="4:25">
      <c r="D3281">
        <f t="shared" si="170"/>
        <v>12</v>
      </c>
      <c r="E3281">
        <v>0.51854336802084744</v>
      </c>
      <c r="F3281" s="6">
        <v>0.52205190518650568</v>
      </c>
      <c r="G3281" s="6">
        <v>0.52622428254715781</v>
      </c>
      <c r="H3281" s="6">
        <v>0.53118610339092176</v>
      </c>
      <c r="I3281" s="6">
        <v>0.53708673604169466</v>
      </c>
      <c r="J3281" s="6">
        <v>0.54410381037301114</v>
      </c>
      <c r="K3281" s="6">
        <v>0.55244856509431572</v>
      </c>
      <c r="L3281" s="6">
        <v>0.56237220678184363</v>
      </c>
      <c r="M3281" s="6">
        <v>0.57417347208338931</v>
      </c>
      <c r="N3281" s="6">
        <v>0.5882076207460224</v>
      </c>
      <c r="O3281" s="6">
        <v>0.60489713018863145</v>
      </c>
      <c r="P3281">
        <v>0.62474441356368726</v>
      </c>
      <c r="Q3281">
        <v>0.64834694416677874</v>
      </c>
      <c r="R3281">
        <v>0.67641524149204468</v>
      </c>
      <c r="S3281">
        <v>0.70979426037726301</v>
      </c>
      <c r="T3281">
        <v>0.74948882712737452</v>
      </c>
      <c r="U3281">
        <v>0.79669388833355759</v>
      </c>
      <c r="V3281">
        <v>0.8528304829840897</v>
      </c>
      <c r="W3281">
        <v>0.9195885207545258</v>
      </c>
      <c r="X3281">
        <v>0.99897765425474905</v>
      </c>
      <c r="Y3281">
        <v>1.0933877766671154</v>
      </c>
    </row>
    <row r="3282" spans="4:25">
      <c r="D3282">
        <f t="shared" si="170"/>
        <v>12.5</v>
      </c>
      <c r="E3282">
        <v>0.52030626910784494</v>
      </c>
      <c r="F3282" s="6">
        <v>0.52414835970220908</v>
      </c>
      <c r="G3282" s="6">
        <v>0.52871740117351207</v>
      </c>
      <c r="H3282" s="6">
        <v>0.53415093779992795</v>
      </c>
      <c r="I3282" s="6">
        <v>0.54061253821568966</v>
      </c>
      <c r="J3282" s="6">
        <v>0.54829671940441815</v>
      </c>
      <c r="K3282" s="6">
        <v>0.55743480234702403</v>
      </c>
      <c r="L3282" s="6">
        <v>0.5683018755998559</v>
      </c>
      <c r="M3282" s="6">
        <v>0.58122507643137944</v>
      </c>
      <c r="N3282" s="6">
        <v>0.59659343880883631</v>
      </c>
      <c r="O3282" s="6">
        <v>0.61486960469404817</v>
      </c>
      <c r="P3282">
        <v>0.63660375119971191</v>
      </c>
      <c r="Q3282">
        <v>0.66245015286275888</v>
      </c>
      <c r="R3282">
        <v>0.69318687761767261</v>
      </c>
      <c r="S3282">
        <v>0.72973920938809622</v>
      </c>
      <c r="T3282">
        <v>0.77320750239942393</v>
      </c>
      <c r="U3282">
        <v>0.82490030572551798</v>
      </c>
      <c r="V3282">
        <v>0.88637375523534523</v>
      </c>
      <c r="W3282">
        <v>0.95947841877619244</v>
      </c>
      <c r="X3282">
        <v>1.0464150047988481</v>
      </c>
      <c r="Y3282">
        <v>1.149800611451036</v>
      </c>
    </row>
    <row r="3283" spans="4:25">
      <c r="D3283">
        <f t="shared" si="170"/>
        <v>13</v>
      </c>
      <c r="E3283">
        <v>0.52268046058132567</v>
      </c>
      <c r="F3283" s="6">
        <v>0.52697176509485133</v>
      </c>
      <c r="G3283" s="6">
        <v>0.53207501495497922</v>
      </c>
      <c r="H3283" s="6">
        <v>0.53814383599827997</v>
      </c>
      <c r="I3283" s="6">
        <v>0.54536092116265145</v>
      </c>
      <c r="J3283" s="6">
        <v>0.55394353018970255</v>
      </c>
      <c r="K3283" s="6">
        <v>0.56415002990995833</v>
      </c>
      <c r="L3283" s="6">
        <v>0.57628767199655984</v>
      </c>
      <c r="M3283" s="6">
        <v>0.59072184232530289</v>
      </c>
      <c r="N3283" s="6">
        <v>0.60788706037940521</v>
      </c>
      <c r="O3283" s="6">
        <v>0.62830005981991677</v>
      </c>
      <c r="P3283">
        <v>0.65257534399311978</v>
      </c>
      <c r="Q3283">
        <v>0.68144368465060579</v>
      </c>
      <c r="R3283">
        <v>0.71577412075881042</v>
      </c>
      <c r="S3283">
        <v>0.75660011963983365</v>
      </c>
      <c r="T3283">
        <v>0.80515068798623968</v>
      </c>
      <c r="U3283">
        <v>0.86288736930121157</v>
      </c>
      <c r="V3283">
        <v>0.93154824151762083</v>
      </c>
      <c r="W3283">
        <v>1.0132002392796673</v>
      </c>
      <c r="X3283">
        <v>1.1103013759724794</v>
      </c>
      <c r="Y3283">
        <v>1.2257747386024234</v>
      </c>
    </row>
    <row r="3284" spans="4:25">
      <c r="D3284">
        <f t="shared" si="170"/>
        <v>13.5</v>
      </c>
      <c r="E3284">
        <v>0.52573741398614637</v>
      </c>
      <c r="F3284" s="6">
        <v>0.53060711583409581</v>
      </c>
      <c r="G3284" s="6">
        <v>0.53639819991961923</v>
      </c>
      <c r="H3284" s="6">
        <v>0.54328499831770272</v>
      </c>
      <c r="I3284" s="6">
        <v>0.55147482797229286</v>
      </c>
      <c r="J3284" s="6">
        <v>0.56121423166819162</v>
      </c>
      <c r="K3284" s="6">
        <v>0.57279639983923847</v>
      </c>
      <c r="L3284" s="6">
        <v>0.58656999663540532</v>
      </c>
      <c r="M3284" s="6">
        <v>0.60294965594458561</v>
      </c>
      <c r="N3284" s="6">
        <v>0.62242846333638335</v>
      </c>
      <c r="O3284" s="6">
        <v>0.64559279967847683</v>
      </c>
      <c r="P3284">
        <v>0.67313999327081053</v>
      </c>
      <c r="Q3284">
        <v>0.70589931188917132</v>
      </c>
      <c r="R3284">
        <v>0.74485692667276671</v>
      </c>
      <c r="S3284">
        <v>0.79118559935695376</v>
      </c>
      <c r="T3284">
        <v>0.84627998654162129</v>
      </c>
      <c r="U3284">
        <v>0.91179862377834253</v>
      </c>
      <c r="V3284">
        <v>0.98971385334553363</v>
      </c>
      <c r="W3284">
        <v>1.0823711987139077</v>
      </c>
      <c r="X3284">
        <v>1.1925599730832428</v>
      </c>
      <c r="Y3284">
        <v>1.3235972475566851</v>
      </c>
    </row>
    <row r="3285" spans="4:25">
      <c r="D3285">
        <f t="shared" si="170"/>
        <v>14</v>
      </c>
      <c r="E3285">
        <v>0.52956915441162145</v>
      </c>
      <c r="F3285" s="6">
        <v>0.53516384881091428</v>
      </c>
      <c r="G3285" s="6">
        <v>0.54181709919681931</v>
      </c>
      <c r="H3285" s="6">
        <v>0.54972919189363212</v>
      </c>
      <c r="I3285" s="6">
        <v>0.55913830882324289</v>
      </c>
      <c r="J3285" s="6">
        <v>0.57032769762182867</v>
      </c>
      <c r="K3285" s="6">
        <v>0.58363419839363861</v>
      </c>
      <c r="L3285" s="6">
        <v>0.59945838378726424</v>
      </c>
      <c r="M3285" s="6">
        <v>0.61827661764648578</v>
      </c>
      <c r="N3285" s="6">
        <v>0.64065539524365722</v>
      </c>
      <c r="O3285" s="6">
        <v>0.66726839678727712</v>
      </c>
      <c r="P3285">
        <v>0.69891676757452825</v>
      </c>
      <c r="Q3285">
        <v>0.73655323529297156</v>
      </c>
      <c r="R3285">
        <v>0.78131079048731467</v>
      </c>
      <c r="S3285">
        <v>0.83453679357455435</v>
      </c>
      <c r="T3285">
        <v>0.89783353514905673</v>
      </c>
      <c r="U3285">
        <v>0.97310647058594335</v>
      </c>
      <c r="V3285">
        <v>1.0626215809746296</v>
      </c>
      <c r="W3285">
        <v>1.1690735871491087</v>
      </c>
      <c r="X3285">
        <v>1.2956670702981135</v>
      </c>
      <c r="Y3285">
        <v>1.4462129411718869</v>
      </c>
    </row>
    <row r="3286" spans="4:25">
      <c r="D3286">
        <f t="shared" si="170"/>
        <v>14.5</v>
      </c>
      <c r="E3286">
        <v>0.53429103077158391</v>
      </c>
      <c r="F3286" s="6">
        <v>0.54077913777434494</v>
      </c>
      <c r="G3286" s="6">
        <v>0.54849484078492716</v>
      </c>
      <c r="H3286" s="6">
        <v>0.55767040970235948</v>
      </c>
      <c r="I3286" s="6">
        <v>0.56858206154316793</v>
      </c>
      <c r="J3286" s="6">
        <v>0.58155827554868988</v>
      </c>
      <c r="K3286" s="6">
        <v>0.59698968156985444</v>
      </c>
      <c r="L3286" s="6">
        <v>0.61534081940471907</v>
      </c>
      <c r="M3286" s="6">
        <v>0.63716412308633585</v>
      </c>
      <c r="N3286" s="6">
        <v>0.66311655109737955</v>
      </c>
      <c r="O3286" s="6">
        <v>0.69397936313970865</v>
      </c>
      <c r="P3286">
        <v>0.73068163880943815</v>
      </c>
      <c r="Q3286">
        <v>0.77432824617267171</v>
      </c>
      <c r="R3286">
        <v>0.82623310219475921</v>
      </c>
      <c r="S3286">
        <v>0.88795872627941752</v>
      </c>
      <c r="T3286">
        <v>0.96136327761887641</v>
      </c>
      <c r="U3286">
        <v>1.0486564923453436</v>
      </c>
      <c r="V3286">
        <v>1.1524662043895184</v>
      </c>
      <c r="W3286">
        <v>1.2759174525588353</v>
      </c>
      <c r="X3286">
        <v>1.422726555237753</v>
      </c>
      <c r="Y3286">
        <v>1.5973129846906871</v>
      </c>
    </row>
    <row r="3287" spans="4:25">
      <c r="D3287">
        <f t="shared" si="170"/>
        <v>15</v>
      </c>
      <c r="E3287">
        <v>0.54004518821390324</v>
      </c>
      <c r="F3287" s="6">
        <v>0.54762202274559679</v>
      </c>
      <c r="G3287" s="6">
        <v>0.55663244827988512</v>
      </c>
      <c r="H3287" s="6">
        <v>0.56734771043446297</v>
      </c>
      <c r="I3287" s="6">
        <v>0.58009037642780648</v>
      </c>
      <c r="J3287" s="6">
        <v>0.5952440454911937</v>
      </c>
      <c r="K3287" s="6">
        <v>0.61326489655977034</v>
      </c>
      <c r="L3287" s="6">
        <v>0.63469542086892605</v>
      </c>
      <c r="M3287" s="6">
        <v>0.66018075285561284</v>
      </c>
      <c r="N3287" s="6">
        <v>0.69048809098238717</v>
      </c>
      <c r="O3287" s="6">
        <v>0.72652979311954058</v>
      </c>
      <c r="P3287">
        <v>0.7693908417378521</v>
      </c>
      <c r="Q3287">
        <v>0.82036150571122579</v>
      </c>
      <c r="R3287">
        <v>0.88097618196477456</v>
      </c>
      <c r="S3287">
        <v>0.95305958623908116</v>
      </c>
      <c r="T3287">
        <v>1.0387816834757044</v>
      </c>
      <c r="U3287">
        <v>1.1407230114224516</v>
      </c>
      <c r="V3287">
        <v>1.2619523639295493</v>
      </c>
      <c r="W3287">
        <v>1.4061191724781625</v>
      </c>
      <c r="X3287">
        <v>1.5775633669514089</v>
      </c>
      <c r="Y3287">
        <v>1.7814460228449034</v>
      </c>
    </row>
    <row r="3288" spans="4:25">
      <c r="D3288">
        <f t="shared" si="170"/>
        <v>15.5</v>
      </c>
      <c r="E3288">
        <v>0.54700484719124443</v>
      </c>
      <c r="F3288" s="6">
        <v>0.55589849871944341</v>
      </c>
      <c r="G3288" s="6">
        <v>0.5664748923951326</v>
      </c>
      <c r="H3288" s="6">
        <v>0.579052415005332</v>
      </c>
      <c r="I3288" s="6">
        <v>0.59400969438248874</v>
      </c>
      <c r="J3288" s="6">
        <v>0.61179699743888694</v>
      </c>
      <c r="K3288" s="6">
        <v>0.63294978479026531</v>
      </c>
      <c r="L3288" s="6">
        <v>0.65810483001066411</v>
      </c>
      <c r="M3288" s="6">
        <v>0.68801938876497748</v>
      </c>
      <c r="N3288" s="6">
        <v>0.72359399487777387</v>
      </c>
      <c r="O3288" s="6">
        <v>0.76589956958053074</v>
      </c>
      <c r="P3288">
        <v>0.81620966002132811</v>
      </c>
      <c r="Q3288">
        <v>0.87603877752995496</v>
      </c>
      <c r="R3288">
        <v>0.94718798975554774</v>
      </c>
      <c r="S3288">
        <v>1.0317991391610615</v>
      </c>
      <c r="T3288">
        <v>1.1324193200426564</v>
      </c>
      <c r="U3288">
        <v>1.2520775550599101</v>
      </c>
      <c r="V3288">
        <v>1.3943759795110957</v>
      </c>
      <c r="W3288">
        <v>1.5635982783221229</v>
      </c>
      <c r="X3288">
        <v>1.7648386400853131</v>
      </c>
      <c r="Y3288">
        <v>2.0041551101198203</v>
      </c>
    </row>
    <row r="3289" spans="4:25">
      <c r="D3289">
        <f t="shared" si="170"/>
        <v>16</v>
      </c>
      <c r="E3289">
        <v>0.55537951800820617</v>
      </c>
      <c r="F3289" s="6">
        <v>0.56585771684078023</v>
      </c>
      <c r="G3289" s="6">
        <v>0.5783184654448903</v>
      </c>
      <c r="H3289" s="6">
        <v>0.59313687634315826</v>
      </c>
      <c r="I3289" s="6">
        <v>0.61075903601641257</v>
      </c>
      <c r="J3289" s="6">
        <v>0.63171543368156036</v>
      </c>
      <c r="K3289" s="6">
        <v>0.6566369308897807</v>
      </c>
      <c r="L3289" s="6">
        <v>0.68627375268631674</v>
      </c>
      <c r="M3289" s="6">
        <v>0.72151807203282514</v>
      </c>
      <c r="N3289" s="6">
        <v>0.76343086736312094</v>
      </c>
      <c r="O3289" s="6">
        <v>0.8132738617795614</v>
      </c>
      <c r="P3289">
        <v>0.87254750537263348</v>
      </c>
      <c r="Q3289">
        <v>0.94303614406565017</v>
      </c>
      <c r="R3289">
        <v>1.0268617347262419</v>
      </c>
      <c r="S3289">
        <v>1.126547723559123</v>
      </c>
      <c r="T3289">
        <v>1.2450950107452674</v>
      </c>
      <c r="U3289">
        <v>1.3860722881313006</v>
      </c>
      <c r="V3289">
        <v>1.5537234694524837</v>
      </c>
      <c r="W3289">
        <v>1.7530954471182461</v>
      </c>
      <c r="X3289">
        <v>1.9901900214905344</v>
      </c>
      <c r="Y3289">
        <v>2.2721445762626016</v>
      </c>
    </row>
    <row r="3290" spans="4:25">
      <c r="D3290">
        <f t="shared" si="170"/>
        <v>16.5</v>
      </c>
      <c r="E3290">
        <v>0.56542130782111499</v>
      </c>
      <c r="F3290" s="6">
        <v>0.57779948473365306</v>
      </c>
      <c r="G3290" s="6">
        <v>0.59251970078880589</v>
      </c>
      <c r="H3290" s="6">
        <v>0.61002508645597087</v>
      </c>
      <c r="I3290" s="6">
        <v>0.63084261564222999</v>
      </c>
      <c r="J3290" s="6">
        <v>0.65559896946730634</v>
      </c>
      <c r="K3290" s="6">
        <v>0.68503940157761178</v>
      </c>
      <c r="L3290" s="6">
        <v>0.72005017291194173</v>
      </c>
      <c r="M3290" s="6">
        <v>0.7616852312844602</v>
      </c>
      <c r="N3290" s="6">
        <v>0.81119793893461267</v>
      </c>
      <c r="O3290" s="6">
        <v>0.87007880315522368</v>
      </c>
      <c r="P3290">
        <v>0.94010034582388347</v>
      </c>
      <c r="Q3290">
        <v>1.0233704625689204</v>
      </c>
      <c r="R3290">
        <v>1.1223958778692256</v>
      </c>
      <c r="S3290">
        <v>1.2401576063104476</v>
      </c>
      <c r="T3290">
        <v>1.3802006916477672</v>
      </c>
      <c r="U3290">
        <v>1.546740925137841</v>
      </c>
      <c r="V3290">
        <v>1.7447917557384509</v>
      </c>
      <c r="W3290">
        <v>1.9803152126208952</v>
      </c>
      <c r="X3290">
        <v>2.2604013832955347</v>
      </c>
      <c r="Y3290">
        <v>2.593481850275682</v>
      </c>
    </row>
    <row r="3291" spans="4:25">
      <c r="D3291">
        <f t="shared" si="170"/>
        <v>17</v>
      </c>
      <c r="E3291">
        <v>0.57743250995343232</v>
      </c>
      <c r="F3291" s="6">
        <v>0.59208329176914065</v>
      </c>
      <c r="G3291" s="6">
        <v>0.60950610574473363</v>
      </c>
      <c r="H3291" s="6">
        <v>0.63022544008787762</v>
      </c>
      <c r="I3291" s="6">
        <v>0.65486501990686463</v>
      </c>
      <c r="J3291" s="6">
        <v>0.68416658353828141</v>
      </c>
      <c r="K3291" s="6">
        <v>0.71901221148946737</v>
      </c>
      <c r="L3291" s="6">
        <v>0.76045088017575513</v>
      </c>
      <c r="M3291" s="6">
        <v>0.80973003981372926</v>
      </c>
      <c r="N3291" s="6">
        <v>0.86833316707656294</v>
      </c>
      <c r="O3291" s="6">
        <v>0.93802442297893474</v>
      </c>
      <c r="P3291">
        <v>1.0209017603515105</v>
      </c>
      <c r="Q3291">
        <v>1.1194600796274587</v>
      </c>
      <c r="R3291">
        <v>1.2366663341531261</v>
      </c>
      <c r="S3291">
        <v>1.3760488459578695</v>
      </c>
      <c r="T3291">
        <v>1.5418035207030214</v>
      </c>
      <c r="U3291">
        <v>1.7389201592549175</v>
      </c>
      <c r="V3291">
        <v>1.9733326683062524</v>
      </c>
      <c r="W3291">
        <v>2.2520976919157394</v>
      </c>
      <c r="X3291">
        <v>2.5836070414060428</v>
      </c>
      <c r="Y3291">
        <v>2.9778403185098354</v>
      </c>
    </row>
    <row r="3292" spans="4:25">
      <c r="D3292">
        <f t="shared" si="170"/>
        <v>17.5</v>
      </c>
      <c r="E3292">
        <v>0.59177470399196441</v>
      </c>
      <c r="F3292" s="6">
        <v>0.60913913096451289</v>
      </c>
      <c r="G3292" s="6">
        <v>0.62978903106821238</v>
      </c>
      <c r="H3292" s="6">
        <v>0.65434603919562739</v>
      </c>
      <c r="I3292" s="6">
        <v>0.68354940798392905</v>
      </c>
      <c r="J3292" s="6">
        <v>0.71827826192902566</v>
      </c>
      <c r="K3292" s="6">
        <v>0.75957806213642476</v>
      </c>
      <c r="L3292" s="6">
        <v>0.8086920783912549</v>
      </c>
      <c r="M3292" s="6">
        <v>0.86709881596785798</v>
      </c>
      <c r="N3292" s="6">
        <v>0.93655652385805133</v>
      </c>
      <c r="O3292" s="6">
        <v>1.0191561242728497</v>
      </c>
      <c r="P3292">
        <v>1.1173841567825098</v>
      </c>
      <c r="Q3292">
        <v>1.2341976319357162</v>
      </c>
      <c r="R3292">
        <v>1.3731130477161027</v>
      </c>
      <c r="S3292">
        <v>1.5383122485456997</v>
      </c>
      <c r="T3292">
        <v>1.73476831356502</v>
      </c>
      <c r="U3292">
        <v>1.9683952638714328</v>
      </c>
      <c r="V3292">
        <v>2.2462260954322057</v>
      </c>
      <c r="W3292">
        <v>2.5766244970913998</v>
      </c>
      <c r="X3292">
        <v>2.9695366271300405</v>
      </c>
      <c r="Y3292">
        <v>3.4367905277428656</v>
      </c>
    </row>
    <row r="3293" spans="4:25">
      <c r="D3293">
        <f t="shared" si="170"/>
        <v>18</v>
      </c>
      <c r="E3293">
        <v>0.60887964060889421</v>
      </c>
      <c r="F3293" s="6">
        <v>0.62948044329103614</v>
      </c>
      <c r="G3293" s="6">
        <v>0.65397906441540665</v>
      </c>
      <c r="H3293" s="6">
        <v>0.68311299896426381</v>
      </c>
      <c r="I3293" s="6">
        <v>0.71775928121778843</v>
      </c>
      <c r="J3293" s="6">
        <v>0.75896088658207239</v>
      </c>
      <c r="K3293" s="6">
        <v>0.80795812883081319</v>
      </c>
      <c r="L3293" s="6">
        <v>0.86622599792852761</v>
      </c>
      <c r="M3293" s="6">
        <v>0.93551856243557696</v>
      </c>
      <c r="N3293" s="6">
        <v>1.017921773164145</v>
      </c>
      <c r="O3293" s="6">
        <v>1.1159162576616264</v>
      </c>
      <c r="P3293">
        <v>1.2324519958570552</v>
      </c>
      <c r="Q3293">
        <v>1.3710371248711539</v>
      </c>
      <c r="R3293">
        <v>1.5358435463282898</v>
      </c>
      <c r="S3293">
        <v>1.7318325153232532</v>
      </c>
      <c r="T3293">
        <v>1.9649039917141113</v>
      </c>
      <c r="U3293">
        <v>2.2420742497423083</v>
      </c>
      <c r="V3293">
        <v>2.57168709265658</v>
      </c>
      <c r="W3293">
        <v>2.9636650306465064</v>
      </c>
      <c r="X3293">
        <v>3.4298079834282227</v>
      </c>
      <c r="Y3293">
        <v>3.9841484994846175</v>
      </c>
    </row>
    <row r="3294" spans="4:25">
      <c r="D3294">
        <f t="shared" si="170"/>
        <v>18.5</v>
      </c>
      <c r="E3294">
        <v>0.62926223878120358</v>
      </c>
      <c r="F3294" s="6">
        <v>0.65371957405978798</v>
      </c>
      <c r="G3294" s="6">
        <v>0.68280441118708757</v>
      </c>
      <c r="H3294" s="6">
        <v>0.71739230643756768</v>
      </c>
      <c r="I3294" s="6">
        <v>0.75852447756240715</v>
      </c>
      <c r="J3294" s="6">
        <v>0.80743914811957596</v>
      </c>
      <c r="K3294" s="6">
        <v>0.86560882237417525</v>
      </c>
      <c r="L3294" s="6">
        <v>0.93478461287513526</v>
      </c>
      <c r="M3294" s="6">
        <v>1.0170489551248145</v>
      </c>
      <c r="N3294" s="6">
        <v>1.1148782962391519</v>
      </c>
      <c r="O3294" s="6">
        <v>1.2312176447483505</v>
      </c>
      <c r="P3294">
        <v>1.3695692257502705</v>
      </c>
      <c r="Q3294">
        <v>1.534097910249629</v>
      </c>
      <c r="R3294">
        <v>1.7297565924783045</v>
      </c>
      <c r="S3294">
        <v>1.9624352894967012</v>
      </c>
      <c r="T3294">
        <v>2.2391384515005415</v>
      </c>
      <c r="U3294">
        <v>2.5681958204992585</v>
      </c>
      <c r="V3294">
        <v>2.959513184956609</v>
      </c>
      <c r="W3294">
        <v>3.4248705789934029</v>
      </c>
      <c r="X3294">
        <v>3.9782769030010834</v>
      </c>
      <c r="Y3294">
        <v>4.6363916409985171</v>
      </c>
    </row>
    <row r="3295" spans="4:25">
      <c r="D3295">
        <f t="shared" si="170"/>
        <v>19</v>
      </c>
      <c r="E3295">
        <v>0.65353608666967755</v>
      </c>
      <c r="F3295" s="6">
        <v>0.682586206677255</v>
      </c>
      <c r="G3295" s="6">
        <v>0.71713281608194901</v>
      </c>
      <c r="H3295" s="6">
        <v>0.75821588978523091</v>
      </c>
      <c r="I3295" s="6">
        <v>0.80707217333935521</v>
      </c>
      <c r="J3295" s="6">
        <v>0.86517241335451001</v>
      </c>
      <c r="K3295" s="6">
        <v>0.93426563216389802</v>
      </c>
      <c r="L3295" s="6">
        <v>1.0164317795704618</v>
      </c>
      <c r="M3295" s="6">
        <v>1.1141443466787104</v>
      </c>
      <c r="N3295" s="6">
        <v>1.23034482670902</v>
      </c>
      <c r="O3295" s="6">
        <v>1.368531264327796</v>
      </c>
      <c r="P3295">
        <v>1.5328635591409243</v>
      </c>
      <c r="Q3295">
        <v>1.7282886933574211</v>
      </c>
      <c r="R3295">
        <v>1.9606896534180405</v>
      </c>
      <c r="S3295">
        <v>2.2370625286555921</v>
      </c>
      <c r="T3295">
        <v>2.5657271182818491</v>
      </c>
      <c r="U3295">
        <v>2.9565773867148422</v>
      </c>
      <c r="V3295">
        <v>3.4213793068360814</v>
      </c>
      <c r="W3295">
        <v>3.9741250573111855</v>
      </c>
      <c r="X3295">
        <v>4.6314542365636981</v>
      </c>
      <c r="Y3295">
        <v>5.4131547734296852</v>
      </c>
    </row>
    <row r="3296" spans="4:25">
      <c r="D3296">
        <f t="shared" si="170"/>
        <v>19.5</v>
      </c>
      <c r="E3296">
        <v>0.68243191278866688</v>
      </c>
      <c r="F3296" s="6">
        <v>0.71694932869183847</v>
      </c>
      <c r="G3296" s="6">
        <v>0.75799768527539835</v>
      </c>
      <c r="H3296" s="6">
        <v>0.80681268298373654</v>
      </c>
      <c r="I3296" s="6">
        <v>0.86486382557733377</v>
      </c>
      <c r="J3296" s="6">
        <v>0.93389865738367728</v>
      </c>
      <c r="K3296" s="6">
        <v>1.0159953705507967</v>
      </c>
      <c r="L3296" s="6">
        <v>1.1136253659674731</v>
      </c>
      <c r="M3296" s="6">
        <v>1.2297276511546675</v>
      </c>
      <c r="N3296" s="6">
        <v>1.3677973147673546</v>
      </c>
      <c r="O3296" s="6">
        <v>1.5319907411015938</v>
      </c>
      <c r="P3296">
        <v>1.7272507319349464</v>
      </c>
      <c r="Q3296">
        <v>1.9594553023093357</v>
      </c>
      <c r="R3296">
        <v>2.2355946295347091</v>
      </c>
      <c r="S3296">
        <v>2.5639814822031877</v>
      </c>
      <c r="T3296">
        <v>2.9545014638698932</v>
      </c>
      <c r="U3296">
        <v>3.4189106046186719</v>
      </c>
      <c r="V3296">
        <v>3.9711892590694187</v>
      </c>
      <c r="W3296">
        <v>4.6279629644063762</v>
      </c>
      <c r="X3296">
        <v>5.4090029277397873</v>
      </c>
      <c r="Y3296">
        <v>6.3378212092373438</v>
      </c>
    </row>
    <row r="3297" spans="4:28">
      <c r="D3297">
        <f t="shared" si="170"/>
        <v>20</v>
      </c>
      <c r="E3297">
        <v>0.7168195835140293</v>
      </c>
      <c r="F3297" s="6">
        <v>0.75784339138681023</v>
      </c>
      <c r="G3297" s="6">
        <v>0.80662919559362611</v>
      </c>
      <c r="H3297" s="6">
        <v>0.8646456210675012</v>
      </c>
      <c r="I3297" s="6">
        <v>0.9336391670280586</v>
      </c>
      <c r="J3297" s="6">
        <v>1.0156867827736205</v>
      </c>
      <c r="K3297" s="6">
        <v>1.1132583911872522</v>
      </c>
      <c r="L3297" s="6">
        <v>1.2292912421350024</v>
      </c>
      <c r="M3297" s="6">
        <v>1.3672783340561172</v>
      </c>
      <c r="N3297" s="6">
        <v>1.5313735655472414</v>
      </c>
      <c r="O3297" s="6">
        <v>1.7265167823745049</v>
      </c>
      <c r="P3297">
        <v>1.958582484270005</v>
      </c>
      <c r="Q3297">
        <v>2.2345566681122344</v>
      </c>
      <c r="R3297">
        <v>2.5627471310944827</v>
      </c>
      <c r="S3297">
        <v>2.9530335647490102</v>
      </c>
      <c r="T3297">
        <v>3.4171649685400109</v>
      </c>
      <c r="U3297">
        <v>3.9691133362244697</v>
      </c>
      <c r="V3297">
        <v>4.6254942621889663</v>
      </c>
      <c r="W3297">
        <v>5.4060671294980205</v>
      </c>
      <c r="X3297">
        <v>6.3343299370800219</v>
      </c>
      <c r="Y3297">
        <v>7.4382266724489412</v>
      </c>
    </row>
    <row r="3301" spans="4:28">
      <c r="D3301" t="s">
        <v>106</v>
      </c>
      <c r="E3301" s="1">
        <f>COUNT(E3310:BG3310)</f>
        <v>24</v>
      </c>
      <c r="G3301" s="31" t="s">
        <v>384</v>
      </c>
      <c r="H3301" s="25">
        <v>100</v>
      </c>
      <c r="K3301" s="31" t="s">
        <v>394</v>
      </c>
      <c r="L3301" s="31" t="s">
        <v>395</v>
      </c>
      <c r="M3301" s="31" t="s">
        <v>396</v>
      </c>
      <c r="N3301" s="31" t="s">
        <v>397</v>
      </c>
      <c r="P3301" s="1" t="s">
        <v>398</v>
      </c>
      <c r="S3301" s="1" t="s">
        <v>403</v>
      </c>
      <c r="U3301" s="1" t="s">
        <v>407</v>
      </c>
      <c r="V3301" s="1" t="s">
        <v>7</v>
      </c>
      <c r="X3301" s="1" t="s">
        <v>408</v>
      </c>
      <c r="Y3301" s="4">
        <v>300</v>
      </c>
    </row>
    <row r="3302" spans="4:28">
      <c r="D3302" t="s">
        <v>107</v>
      </c>
      <c r="E3302" s="1">
        <f>COUNT(D3311:D3411)</f>
        <v>97</v>
      </c>
      <c r="G3302" s="31" t="s">
        <v>386</v>
      </c>
      <c r="H3302" s="25">
        <v>150</v>
      </c>
      <c r="J3302" s="31" t="s">
        <v>390</v>
      </c>
      <c r="K3302" s="25">
        <v>255</v>
      </c>
      <c r="L3302" s="25">
        <v>0</v>
      </c>
      <c r="M3302" s="25">
        <v>0</v>
      </c>
      <c r="N3302" s="25">
        <v>0.9</v>
      </c>
      <c r="P3302" s="1" t="s">
        <v>399</v>
      </c>
      <c r="Q3302" s="4">
        <v>600</v>
      </c>
      <c r="S3302" s="1" t="s">
        <v>2</v>
      </c>
      <c r="T3302" s="4" t="s">
        <v>299</v>
      </c>
      <c r="U3302" s="4">
        <v>100</v>
      </c>
      <c r="V3302" s="4">
        <v>0</v>
      </c>
      <c r="X3302" s="1" t="s">
        <v>409</v>
      </c>
      <c r="Y3302" s="4">
        <v>20</v>
      </c>
    </row>
    <row r="3303" spans="4:28">
      <c r="D3303" t="s">
        <v>383</v>
      </c>
      <c r="E3303" s="4" t="s">
        <v>429</v>
      </c>
      <c r="G3303" s="31" t="s">
        <v>385</v>
      </c>
      <c r="H3303" s="25">
        <v>300</v>
      </c>
      <c r="J3303" s="31" t="s">
        <v>391</v>
      </c>
      <c r="K3303" s="25">
        <v>255</v>
      </c>
      <c r="L3303" s="25">
        <v>255</v>
      </c>
      <c r="M3303" s="25">
        <v>0</v>
      </c>
      <c r="P3303" s="1" t="s">
        <v>400</v>
      </c>
      <c r="Q3303" s="4">
        <v>0</v>
      </c>
      <c r="S3303" s="1" t="s">
        <v>3</v>
      </c>
      <c r="T3303" s="4" t="s">
        <v>296</v>
      </c>
      <c r="U3303" s="4">
        <v>0</v>
      </c>
      <c r="V3303" s="4">
        <v>0</v>
      </c>
      <c r="X3303" s="1" t="s">
        <v>419</v>
      </c>
      <c r="Y3303" s="4">
        <v>250</v>
      </c>
    </row>
    <row r="3304" spans="4:28">
      <c r="D3304" s="1" t="s">
        <v>436</v>
      </c>
      <c r="E3304" s="4">
        <v>2</v>
      </c>
      <c r="G3304" s="31" t="s">
        <v>387</v>
      </c>
      <c r="H3304" s="25">
        <v>0</v>
      </c>
      <c r="J3304" s="31" t="s">
        <v>392</v>
      </c>
      <c r="K3304" s="25">
        <v>0</v>
      </c>
      <c r="L3304" s="25">
        <v>255</v>
      </c>
      <c r="M3304" s="25">
        <v>0</v>
      </c>
      <c r="N3304" s="25">
        <v>1.1000000000000001</v>
      </c>
      <c r="P3304" s="1" t="s">
        <v>401</v>
      </c>
      <c r="Q3304" s="4">
        <v>450</v>
      </c>
      <c r="S3304" s="1" t="s">
        <v>404</v>
      </c>
      <c r="T3304" s="4" t="s">
        <v>405</v>
      </c>
      <c r="U3304" s="4">
        <v>0</v>
      </c>
      <c r="V3304" s="4">
        <v>0</v>
      </c>
      <c r="X3304" s="1" t="s">
        <v>418</v>
      </c>
      <c r="Y3304" s="4">
        <v>250</v>
      </c>
    </row>
    <row r="3305" spans="4:28">
      <c r="D3305" s="1" t="s">
        <v>406</v>
      </c>
      <c r="E3305" s="4">
        <v>1</v>
      </c>
      <c r="G3305" s="31" t="s">
        <v>388</v>
      </c>
      <c r="H3305" s="25">
        <v>2500</v>
      </c>
      <c r="J3305" s="31" t="s">
        <v>393</v>
      </c>
      <c r="K3305" s="25">
        <v>0</v>
      </c>
      <c r="L3305" s="25">
        <v>0</v>
      </c>
      <c r="M3305" s="25">
        <v>0</v>
      </c>
      <c r="P3305" s="1" t="s">
        <v>402</v>
      </c>
      <c r="Q3305" s="4">
        <v>350</v>
      </c>
      <c r="S3305" s="1" t="s">
        <v>389</v>
      </c>
      <c r="T3305" s="4" t="s">
        <v>428</v>
      </c>
      <c r="U3305" s="4">
        <v>3500</v>
      </c>
      <c r="V3305" s="4">
        <v>100</v>
      </c>
      <c r="X3305" s="1" t="s">
        <v>420</v>
      </c>
      <c r="Y3305" s="4">
        <v>600</v>
      </c>
    </row>
    <row r="3306" spans="4:28">
      <c r="D3306" s="1" t="s">
        <v>415</v>
      </c>
      <c r="E3306" s="4">
        <v>1</v>
      </c>
      <c r="G3306" s="31"/>
      <c r="H3306" s="25"/>
      <c r="J3306" s="31" t="s">
        <v>437</v>
      </c>
      <c r="K3306" s="25"/>
      <c r="L3306" s="25" t="s">
        <v>439</v>
      </c>
      <c r="M3306" s="25"/>
      <c r="P3306" s="1"/>
      <c r="Q3306" s="4"/>
      <c r="S3306" s="1" t="s">
        <v>411</v>
      </c>
      <c r="T3306" s="4">
        <v>8</v>
      </c>
      <c r="V3306" s="4"/>
      <c r="X3306" s="1" t="s">
        <v>426</v>
      </c>
      <c r="Y3306" s="4">
        <v>600</v>
      </c>
      <c r="AA3306" s="1"/>
      <c r="AB3306" s="4"/>
    </row>
    <row r="3307" spans="4:28">
      <c r="D3307" s="1" t="s">
        <v>416</v>
      </c>
      <c r="E3307" s="4">
        <v>8000</v>
      </c>
      <c r="G3307" s="31"/>
      <c r="H3307" s="25"/>
      <c r="J3307" s="31" t="s">
        <v>430</v>
      </c>
      <c r="K3307" s="25"/>
      <c r="L3307" s="25" t="s">
        <v>432</v>
      </c>
      <c r="M3307" s="25"/>
      <c r="P3307" s="1"/>
      <c r="Q3307" s="4"/>
      <c r="S3307" s="1" t="s">
        <v>412</v>
      </c>
      <c r="T3307" s="4">
        <v>0.2</v>
      </c>
      <c r="U3307" s="1" t="s">
        <v>410</v>
      </c>
      <c r="V3307" s="4"/>
      <c r="Y3307" s="4"/>
      <c r="AA3307" s="1"/>
      <c r="AB3307" s="4"/>
    </row>
    <row r="3308" spans="4:28">
      <c r="D3308" s="1" t="s">
        <v>417</v>
      </c>
      <c r="E3308" s="4">
        <v>800</v>
      </c>
      <c r="G3308" s="31"/>
      <c r="H3308" s="25"/>
      <c r="J3308" s="31" t="s">
        <v>435</v>
      </c>
      <c r="K3308" s="25"/>
      <c r="L3308" s="25" t="s">
        <v>431</v>
      </c>
      <c r="M3308" s="25"/>
      <c r="P3308" s="1"/>
      <c r="Q3308" s="4"/>
      <c r="S3308" s="1" t="s">
        <v>413</v>
      </c>
      <c r="T3308" s="4">
        <v>3</v>
      </c>
      <c r="U3308" s="4">
        <v>0</v>
      </c>
      <c r="V3308" s="4"/>
      <c r="X3308" s="1"/>
      <c r="Y3308" s="4"/>
      <c r="AA3308" s="1"/>
      <c r="AB3308" s="4"/>
    </row>
    <row r="3309" spans="4:28">
      <c r="G3309" s="31"/>
      <c r="H3309" s="25"/>
      <c r="J3309" s="31"/>
      <c r="K3309" s="25"/>
      <c r="L3309" s="25"/>
      <c r="M3309" s="25"/>
      <c r="P3309" s="1"/>
      <c r="Q3309" s="4"/>
      <c r="S3309" s="1" t="s">
        <v>414</v>
      </c>
      <c r="T3309" s="4">
        <v>1</v>
      </c>
      <c r="U3309" s="4">
        <v>0</v>
      </c>
      <c r="V3309" s="4"/>
      <c r="X3309" s="1"/>
      <c r="Y3309" s="4"/>
      <c r="AA3309" s="1"/>
      <c r="AB3309" s="4"/>
    </row>
    <row r="3310" spans="4:28">
      <c r="D3310" s="5"/>
      <c r="E3310">
        <v>3.3333333333333333E-2</v>
      </c>
      <c r="F3310" s="6">
        <v>6.6666666666666666E-2</v>
      </c>
      <c r="G3310" s="6">
        <v>0.1</v>
      </c>
      <c r="H3310" s="6">
        <v>0.13333333333333333</v>
      </c>
      <c r="I3310" s="6">
        <v>0.16666666666666669</v>
      </c>
      <c r="J3310" s="6">
        <v>0.2</v>
      </c>
      <c r="K3310" s="6">
        <v>0.23333333333333334</v>
      </c>
      <c r="L3310" s="6">
        <v>0.26666666666666672</v>
      </c>
      <c r="M3310" s="6">
        <v>0.30000000000000004</v>
      </c>
      <c r="N3310" s="6">
        <v>0.33333333333333337</v>
      </c>
      <c r="O3310" s="6">
        <v>0.3666666666666667</v>
      </c>
      <c r="P3310">
        <v>0.4</v>
      </c>
      <c r="Q3310">
        <v>0.43333333333333335</v>
      </c>
      <c r="R3310">
        <v>0.46666666666666667</v>
      </c>
      <c r="S3310">
        <v>0.5</v>
      </c>
      <c r="T3310">
        <v>0.53333333333333333</v>
      </c>
      <c r="U3310">
        <v>0.56666666666666665</v>
      </c>
      <c r="V3310">
        <v>0.6</v>
      </c>
      <c r="W3310">
        <v>0.6333333333333333</v>
      </c>
      <c r="X3310">
        <v>0.66666666666666663</v>
      </c>
      <c r="Y3310">
        <v>0.7</v>
      </c>
      <c r="Z3310">
        <v>0.73333333333333328</v>
      </c>
      <c r="AA3310">
        <v>0.76666666666666661</v>
      </c>
      <c r="AB3310">
        <v>0.79999999999999993</v>
      </c>
    </row>
    <row r="3311" spans="4:28">
      <c r="D3311">
        <v>0.05</v>
      </c>
      <c r="E3311">
        <v>0.77073023520429385</v>
      </c>
      <c r="F3311" s="6">
        <v>0.88287037037037031</v>
      </c>
      <c r="G3311" s="6">
        <v>0.96891852251890931</v>
      </c>
      <c r="H3311" s="6">
        <v>1.0414604704085877</v>
      </c>
      <c r="I3311" s="6">
        <v>1.1053712094813077</v>
      </c>
      <c r="J3311" s="6">
        <v>1.163150934194195</v>
      </c>
      <c r="K3311" s="6">
        <v>1.2162848747365858</v>
      </c>
      <c r="L3311" s="6">
        <v>1.2657407407407408</v>
      </c>
      <c r="M3311" s="6">
        <v>1.3121907056128816</v>
      </c>
      <c r="N3311" s="6">
        <v>1.3561241747186696</v>
      </c>
      <c r="O3311" s="6">
        <v>1.3979106095773093</v>
      </c>
      <c r="P3311">
        <v>1.4378370450378186</v>
      </c>
      <c r="Q3311">
        <v>1.4761317448475078</v>
      </c>
      <c r="R3311">
        <v>1.5129797843751929</v>
      </c>
      <c r="S3311">
        <v>1.5485336922610471</v>
      </c>
      <c r="T3311">
        <v>1.5829209408171754</v>
      </c>
      <c r="U3311">
        <v>1.6162493557956163</v>
      </c>
      <c r="V3311">
        <v>1.6486111111111112</v>
      </c>
      <c r="W3311">
        <v>1.6800857362165145</v>
      </c>
      <c r="X3311">
        <v>1.7107424189626155</v>
      </c>
      <c r="Y3311">
        <v>1.7406417957368752</v>
      </c>
      <c r="Z3311">
        <v>1.769837361862924</v>
      </c>
      <c r="AA3311">
        <v>1.7983765963066194</v>
      </c>
      <c r="AB3311">
        <v>1.8263018683883903</v>
      </c>
    </row>
    <row r="3312" spans="4:28">
      <c r="D3312">
        <v>0.1</v>
      </c>
      <c r="E3312">
        <v>0.69768518518518507</v>
      </c>
      <c r="F3312" s="6">
        <v>0.77956906996912567</v>
      </c>
      <c r="G3312" s="6">
        <v>0.84240078464440304</v>
      </c>
      <c r="H3312" s="6">
        <v>0.89537037037037037</v>
      </c>
      <c r="I3312" s="6">
        <v>0.94203751221870857</v>
      </c>
      <c r="J3312" s="6">
        <v>0.98422783341130415</v>
      </c>
      <c r="K3312" s="6">
        <v>1.0230258378817503</v>
      </c>
      <c r="L3312" s="6">
        <v>1.0591381399382516</v>
      </c>
      <c r="M3312" s="6">
        <v>1.0930555555555554</v>
      </c>
      <c r="N3312" s="6">
        <v>1.1251354448573603</v>
      </c>
      <c r="O3312" s="6">
        <v>1.1556475858711832</v>
      </c>
      <c r="P3312">
        <v>1.1848015692888061</v>
      </c>
      <c r="Q3312">
        <v>1.2127640715847794</v>
      </c>
      <c r="R3312">
        <v>1.2396702334039227</v>
      </c>
      <c r="S3312">
        <v>1.2656314300141513</v>
      </c>
      <c r="T3312">
        <v>1.2907407407407407</v>
      </c>
      <c r="U3312">
        <v>1.3150768991383059</v>
      </c>
      <c r="V3312">
        <v>1.3387072099073771</v>
      </c>
      <c r="W3312">
        <v>1.3616897448573462</v>
      </c>
      <c r="X3312">
        <v>1.3840750244374167</v>
      </c>
      <c r="Y3312">
        <v>1.4059073248824741</v>
      </c>
      <c r="Z3312">
        <v>1.4272257080762056</v>
      </c>
      <c r="AA3312">
        <v>1.4480648428030238</v>
      </c>
      <c r="AB3312">
        <v>1.4684556668226083</v>
      </c>
    </row>
    <row r="3313" spans="4:28">
      <c r="D3313">
        <v>0.15000000000000002</v>
      </c>
      <c r="E3313">
        <v>0.66651238143456637</v>
      </c>
      <c r="F3313" s="6">
        <v>0.73548406812780565</v>
      </c>
      <c r="G3313" s="6">
        <v>0.7884079047339575</v>
      </c>
      <c r="H3313" s="6">
        <v>0.83302476286913263</v>
      </c>
      <c r="I3313" s="6">
        <v>0.87233300398306435</v>
      </c>
      <c r="J3313" s="6">
        <v>0.90787037037037033</v>
      </c>
      <c r="K3313" s="6">
        <v>0.94055035148899124</v>
      </c>
      <c r="L3313" s="6">
        <v>0.97096813625561129</v>
      </c>
      <c r="M3313" s="6">
        <v>0.99953714430369911</v>
      </c>
      <c r="N3313" s="6">
        <v>1.0265583839519652</v>
      </c>
      <c r="O3313" s="6">
        <v>1.052259092166997</v>
      </c>
      <c r="P3313">
        <v>1.0768158094679152</v>
      </c>
      <c r="Q3313">
        <v>1.100368929261947</v>
      </c>
      <c r="R3313">
        <v>1.1230322819839653</v>
      </c>
      <c r="S3313">
        <v>1.1448996802334124</v>
      </c>
      <c r="T3313">
        <v>1.1660495257382655</v>
      </c>
      <c r="U3313">
        <v>1.1865481366278541</v>
      </c>
      <c r="V3313">
        <v>1.2064522043834169</v>
      </c>
      <c r="W3313">
        <v>1.225810643521573</v>
      </c>
      <c r="X3313">
        <v>1.2446660079661285</v>
      </c>
      <c r="Y3313">
        <v>1.2630555920712598</v>
      </c>
      <c r="Z3313">
        <v>1.2810122980864203</v>
      </c>
      <c r="AA3313">
        <v>1.2985653279057647</v>
      </c>
      <c r="AB3313">
        <v>1.3157407407407407</v>
      </c>
    </row>
    <row r="3314" spans="4:28">
      <c r="D3314">
        <v>0.2</v>
      </c>
      <c r="E3314">
        <v>0.64862336974939461</v>
      </c>
      <c r="F3314" s="6">
        <v>0.71018518518518525</v>
      </c>
      <c r="G3314" s="6">
        <v>0.75742322759804692</v>
      </c>
      <c r="H3314" s="6">
        <v>0.79724673949878944</v>
      </c>
      <c r="I3314" s="6">
        <v>0.83233195780473257</v>
      </c>
      <c r="J3314" s="6">
        <v>0.86405141973901389</v>
      </c>
      <c r="K3314" s="6">
        <v>0.89322047536929849</v>
      </c>
      <c r="L3314" s="6">
        <v>0.92037037037037051</v>
      </c>
      <c r="M3314" s="6">
        <v>0.94587010924818415</v>
      </c>
      <c r="N3314" s="6">
        <v>0.96998836193745586</v>
      </c>
      <c r="O3314" s="6">
        <v>0.99292795253699939</v>
      </c>
      <c r="P3314">
        <v>1.0148464551960941</v>
      </c>
      <c r="Q3314">
        <v>1.0358691803636861</v>
      </c>
      <c r="R3314">
        <v>1.0560977292700575</v>
      </c>
      <c r="S3314">
        <v>1.0756158358966328</v>
      </c>
      <c r="T3314">
        <v>1.0944934789975789</v>
      </c>
      <c r="U3314">
        <v>1.112789851911983</v>
      </c>
      <c r="V3314">
        <v>1.1305555555555555</v>
      </c>
      <c r="W3314">
        <v>1.1478342493860914</v>
      </c>
      <c r="X3314">
        <v>1.1646639156094647</v>
      </c>
      <c r="Y3314">
        <v>1.1810778419160113</v>
      </c>
      <c r="Z3314">
        <v>1.1971053957506257</v>
      </c>
      <c r="AA3314">
        <v>1.2127726417451092</v>
      </c>
      <c r="AB3314">
        <v>1.228102839478028</v>
      </c>
    </row>
    <row r="3315" spans="4:28">
      <c r="D3315">
        <v>0.25</v>
      </c>
      <c r="E3315">
        <v>0.63688563019710343</v>
      </c>
      <c r="F3315" s="6">
        <v>0.69358551471873175</v>
      </c>
      <c r="G3315" s="6">
        <v>0.73709286632746773</v>
      </c>
      <c r="H3315" s="6">
        <v>0.77377126039420685</v>
      </c>
      <c r="I3315" s="6">
        <v>0.80608557426362126</v>
      </c>
      <c r="J3315" s="6">
        <v>0.83529994710221611</v>
      </c>
      <c r="K3315" s="6">
        <v>0.86216533555988928</v>
      </c>
      <c r="L3315" s="6">
        <v>0.88717102943746362</v>
      </c>
      <c r="M3315" s="6">
        <v>0.91065689059131039</v>
      </c>
      <c r="N3315" s="6">
        <v>0.93287037037037046</v>
      </c>
      <c r="O3315" s="6">
        <v>0.95399827455513508</v>
      </c>
      <c r="P3315">
        <v>0.97418573265493547</v>
      </c>
      <c r="Q3315">
        <v>0.99354815854985834</v>
      </c>
      <c r="R3315">
        <v>1.0121791293701983</v>
      </c>
      <c r="S3315">
        <v>1.0301557660884888</v>
      </c>
      <c r="T3315">
        <v>1.0475425207884137</v>
      </c>
      <c r="U3315">
        <v>1.0643939119318959</v>
      </c>
      <c r="V3315">
        <v>1.0807565441561953</v>
      </c>
      <c r="W3315">
        <v>1.0966706288520536</v>
      </c>
      <c r="X3315">
        <v>1.1121711485272425</v>
      </c>
      <c r="Y3315">
        <v>1.1272887619299596</v>
      </c>
      <c r="Z3315">
        <v>1.1420505171698561</v>
      </c>
      <c r="AA3315">
        <v>1.1564804203877963</v>
      </c>
      <c r="AB3315">
        <v>1.1705998942044324</v>
      </c>
    </row>
    <row r="3316" spans="4:28">
      <c r="D3316">
        <v>0.3</v>
      </c>
      <c r="E3316">
        <v>0.62856735161120836</v>
      </c>
      <c r="F3316" s="6">
        <v>0.6818216923269611</v>
      </c>
      <c r="G3316" s="6">
        <v>0.72268518518518521</v>
      </c>
      <c r="H3316" s="6">
        <v>0.75713470322241661</v>
      </c>
      <c r="I3316" s="6">
        <v>0.78748533788977892</v>
      </c>
      <c r="J3316" s="6">
        <v>0.81492440902845309</v>
      </c>
      <c r="K3316" s="6">
        <v>0.84015723908545659</v>
      </c>
      <c r="L3316" s="6">
        <v>0.86364338465392243</v>
      </c>
      <c r="M3316" s="6">
        <v>0.88570205483362496</v>
      </c>
      <c r="N3316" s="6">
        <v>0.90656566382713732</v>
      </c>
      <c r="O3316" s="6">
        <v>0.92640966558407278</v>
      </c>
      <c r="P3316">
        <v>0.94537037037037031</v>
      </c>
      <c r="Q3316">
        <v>0.96355617858481946</v>
      </c>
      <c r="R3316">
        <v>0.9810549808540403</v>
      </c>
      <c r="S3316">
        <v>0.99793921165620314</v>
      </c>
      <c r="T3316">
        <v>1.0142694064448332</v>
      </c>
      <c r="U3316">
        <v>1.0300967706989368</v>
      </c>
      <c r="V3316">
        <v>1.0454650769808838</v>
      </c>
      <c r="W3316">
        <v>1.0604120931119183</v>
      </c>
      <c r="X3316">
        <v>1.0749706757795578</v>
      </c>
      <c r="Y3316">
        <v>1.089169620658365</v>
      </c>
      <c r="Z3316">
        <v>1.1030343321959717</v>
      </c>
      <c r="AA3316">
        <v>1.1165873577258631</v>
      </c>
      <c r="AB3316">
        <v>1.1298488180569062</v>
      </c>
    </row>
    <row r="3317" spans="4:28">
      <c r="D3317">
        <v>0.35</v>
      </c>
      <c r="E3317">
        <v>0.62237100382008692</v>
      </c>
      <c r="F3317" s="6">
        <v>0.67305873324357668</v>
      </c>
      <c r="G3317" s="6">
        <v>0.71195279598959571</v>
      </c>
      <c r="H3317" s="6">
        <v>0.74474200764017384</v>
      </c>
      <c r="I3317" s="6">
        <v>0.77362988301660085</v>
      </c>
      <c r="J3317" s="6">
        <v>0.79974651867138391</v>
      </c>
      <c r="K3317" s="6">
        <v>0.82376324379328492</v>
      </c>
      <c r="L3317" s="6">
        <v>0.84611746648715347</v>
      </c>
      <c r="M3317" s="6">
        <v>0.86711301146026076</v>
      </c>
      <c r="N3317" s="6">
        <v>0.88697109163264032</v>
      </c>
      <c r="O3317" s="6">
        <v>0.90585870489037568</v>
      </c>
      <c r="P3317">
        <v>0.92390559197919142</v>
      </c>
      <c r="Q3317">
        <v>0.94121492890332314</v>
      </c>
      <c r="R3317">
        <v>0.95787037037037037</v>
      </c>
      <c r="S3317">
        <v>0.97394085985388079</v>
      </c>
      <c r="T3317">
        <v>0.98948401528034768</v>
      </c>
      <c r="U3317">
        <v>1.0045485742630804</v>
      </c>
      <c r="V3317">
        <v>1.0191761997307303</v>
      </c>
      <c r="W3317">
        <v>1.0334028392713885</v>
      </c>
      <c r="X3317">
        <v>1.0472597660332015</v>
      </c>
      <c r="Y3317">
        <v>1.0607743878732785</v>
      </c>
      <c r="Z3317">
        <v>1.0739708848631486</v>
      </c>
      <c r="AA3317">
        <v>1.086870717659794</v>
      </c>
      <c r="AB3317">
        <v>1.0994930373427678</v>
      </c>
    </row>
    <row r="3318" spans="4:28">
      <c r="D3318">
        <v>0.39999999999999997</v>
      </c>
      <c r="E3318">
        <v>0.61759259259259258</v>
      </c>
      <c r="F3318" s="6">
        <v>0.66630103927905848</v>
      </c>
      <c r="G3318" s="6">
        <v>0.70367634496411791</v>
      </c>
      <c r="H3318" s="6">
        <v>0.73518518518518516</v>
      </c>
      <c r="I3318" s="6">
        <v>0.76294503068747532</v>
      </c>
      <c r="J3318" s="6">
        <v>0.78804184938283672</v>
      </c>
      <c r="K3318" s="6">
        <v>0.81112075602333611</v>
      </c>
      <c r="L3318" s="6">
        <v>0.83260207855811674</v>
      </c>
      <c r="M3318" s="6">
        <v>0.85277777777777775</v>
      </c>
      <c r="N3318" s="6">
        <v>0.87186042855683721</v>
      </c>
      <c r="O3318" s="6">
        <v>0.89001050775475532</v>
      </c>
      <c r="P3318">
        <v>0.90735268992823592</v>
      </c>
      <c r="Q3318">
        <v>0.92398612220733956</v>
      </c>
      <c r="R3318">
        <v>0.9399911927039728</v>
      </c>
      <c r="S3318">
        <v>0.95543415274846477</v>
      </c>
      <c r="T3318">
        <v>0.97037037037037033</v>
      </c>
      <c r="U3318">
        <v>0.98484668004948417</v>
      </c>
      <c r="V3318">
        <v>0.99890311783717523</v>
      </c>
      <c r="W3318">
        <v>1.0125742276200607</v>
      </c>
      <c r="X3318">
        <v>1.0258900613749504</v>
      </c>
      <c r="Y3318">
        <v>1.0388769567216589</v>
      </c>
      <c r="Z3318">
        <v>1.0515581495347921</v>
      </c>
      <c r="AA3318">
        <v>1.0639542624636253</v>
      </c>
      <c r="AB3318">
        <v>1.0760836987656732</v>
      </c>
    </row>
    <row r="3319" spans="4:28">
      <c r="D3319">
        <v>0.44999999999999996</v>
      </c>
      <c r="E3319">
        <v>0.61381363777431619</v>
      </c>
      <c r="F3319" s="6">
        <v>0.66095679012345676</v>
      </c>
      <c r="G3319" s="6">
        <v>0.69713100321935606</v>
      </c>
      <c r="H3319" s="6">
        <v>0.72762727554863238</v>
      </c>
      <c r="I3319" s="6">
        <v>0.75449503082990899</v>
      </c>
      <c r="J3319" s="6">
        <v>0.77878533831702756</v>
      </c>
      <c r="K3319" s="6">
        <v>0.80112258135842751</v>
      </c>
      <c r="L3319" s="6">
        <v>0.82191358024691352</v>
      </c>
      <c r="M3319" s="6">
        <v>0.84144091332294868</v>
      </c>
      <c r="N3319" s="6">
        <v>0.85991032415621615</v>
      </c>
      <c r="O3319" s="6">
        <v>0.877477132522827</v>
      </c>
      <c r="P3319">
        <v>0.89426200643871212</v>
      </c>
      <c r="Q3319">
        <v>0.91036090684238236</v>
      </c>
      <c r="R3319">
        <v>0.92585163849388397</v>
      </c>
      <c r="S3319">
        <v>0.94079832367121008</v>
      </c>
      <c r="T3319">
        <v>0.95525455109726487</v>
      </c>
      <c r="U3319">
        <v>0.96926565017929378</v>
      </c>
      <c r="V3319">
        <v>0.98287037037037051</v>
      </c>
      <c r="W3319">
        <v>0.99610214545498788</v>
      </c>
      <c r="X3319">
        <v>1.008990061659818</v>
      </c>
      <c r="Y3319">
        <v>1.0215596102190894</v>
      </c>
      <c r="Z3319">
        <v>1.0338332802994881</v>
      </c>
      <c r="AA3319">
        <v>1.0458310318209609</v>
      </c>
      <c r="AB3319">
        <v>1.0575706766340551</v>
      </c>
    </row>
    <row r="3320" spans="4:28">
      <c r="D3320">
        <v>0.49999999999999994</v>
      </c>
      <c r="E3320">
        <v>0.61076818221873963</v>
      </c>
      <c r="F3320" s="6">
        <v>0.65664986557315586</v>
      </c>
      <c r="G3320" s="6">
        <v>0.69185611946490444</v>
      </c>
      <c r="H3320" s="6">
        <v>0.72153636443747926</v>
      </c>
      <c r="I3320" s="6">
        <v>0.74768518518518523</v>
      </c>
      <c r="J3320" s="6">
        <v>0.7713255261715406</v>
      </c>
      <c r="K3320" s="6">
        <v>0.7930650633294718</v>
      </c>
      <c r="L3320" s="6">
        <v>0.81329973114631171</v>
      </c>
      <c r="M3320" s="6">
        <v>0.83230454665621878</v>
      </c>
      <c r="N3320" s="6">
        <v>0.85027974808778062</v>
      </c>
      <c r="O3320" s="6">
        <v>0.86737649912927606</v>
      </c>
      <c r="P3320">
        <v>0.88371223892980888</v>
      </c>
      <c r="Q3320">
        <v>0.89938036067960414</v>
      </c>
      <c r="R3320">
        <v>0.91445658721826895</v>
      </c>
      <c r="S3320">
        <v>0.92900332502284688</v>
      </c>
      <c r="T3320">
        <v>0.9430727288749583</v>
      </c>
      <c r="U3320">
        <v>0.95670891524552726</v>
      </c>
      <c r="V3320">
        <v>0.96994959671946757</v>
      </c>
      <c r="W3320">
        <v>0.98282731245118482</v>
      </c>
      <c r="X3320">
        <v>0.99537037037037035</v>
      </c>
      <c r="Y3320">
        <v>1.0076035796100355</v>
      </c>
      <c r="Z3320">
        <v>1.0195488275657696</v>
      </c>
      <c r="AA3320">
        <v>1.0312255400646788</v>
      </c>
      <c r="AB3320">
        <v>1.0426510523430812</v>
      </c>
    </row>
    <row r="3321" spans="4:28">
      <c r="D3321">
        <v>0.54999999999999993</v>
      </c>
      <c r="E3321">
        <v>0.60827832677875215</v>
      </c>
      <c r="F3321" s="6">
        <v>0.65312867824157717</v>
      </c>
      <c r="G3321" s="6">
        <v>0.68754356333934441</v>
      </c>
      <c r="H3321" s="6">
        <v>0.71655665355750431</v>
      </c>
      <c r="I3321" s="6">
        <v>0.7421176991672257</v>
      </c>
      <c r="J3321" s="6">
        <v>0.76522665081027852</v>
      </c>
      <c r="K3321" s="6">
        <v>0.78647752503476376</v>
      </c>
      <c r="L3321" s="6">
        <v>0.80625735648315433</v>
      </c>
      <c r="M3321" s="6">
        <v>0.82483498033625646</v>
      </c>
      <c r="N3321" s="6">
        <v>0.84240613385285967</v>
      </c>
      <c r="O3321" s="6">
        <v>0.85911858285261244</v>
      </c>
      <c r="P3321">
        <v>0.87508712667868893</v>
      </c>
      <c r="Q3321">
        <v>0.8904030592222365</v>
      </c>
      <c r="R3321">
        <v>0.90514040121924066</v>
      </c>
      <c r="S3321">
        <v>0.91936015636931168</v>
      </c>
      <c r="T3321">
        <v>0.93311330711500862</v>
      </c>
      <c r="U3321">
        <v>0.94644297827394042</v>
      </c>
      <c r="V3321">
        <v>0.9593860347247315</v>
      </c>
      <c r="W3321">
        <v>0.97197428420425447</v>
      </c>
      <c r="X3321">
        <v>0.98423539833445117</v>
      </c>
      <c r="Y3321">
        <v>0.99619362858679561</v>
      </c>
      <c r="Z3321">
        <v>1.0078703703703704</v>
      </c>
      <c r="AA3321">
        <v>1.0192846128570954</v>
      </c>
      <c r="AB3321">
        <v>1.030453301620557</v>
      </c>
    </row>
    <row r="3322" spans="4:28">
      <c r="D3322">
        <v>0.6</v>
      </c>
      <c r="E3322">
        <v>0.6062201570558754</v>
      </c>
      <c r="F3322" s="6">
        <v>0.65021798670581932</v>
      </c>
      <c r="G3322" s="6">
        <v>0.68397870880872214</v>
      </c>
      <c r="H3322" s="6">
        <v>0.71244031411175102</v>
      </c>
      <c r="I3322" s="6">
        <v>0.73751549175764153</v>
      </c>
      <c r="J3322" s="6">
        <v>0.76018518518518507</v>
      </c>
      <c r="K3322" s="6">
        <v>0.78103211979206932</v>
      </c>
      <c r="L3322" s="6">
        <v>0.80043597341163852</v>
      </c>
      <c r="M3322" s="6">
        <v>0.81866047116762641</v>
      </c>
      <c r="N3322" s="6">
        <v>0.83589762971737169</v>
      </c>
      <c r="O3322" s="6">
        <v>0.85229240612696067</v>
      </c>
      <c r="P3322">
        <v>0.86795741761744416</v>
      </c>
      <c r="Q3322">
        <v>0.88298222275279714</v>
      </c>
      <c r="R3322">
        <v>0.89743943527240466</v>
      </c>
      <c r="S3322">
        <v>0.91138889930894207</v>
      </c>
      <c r="T3322">
        <v>0.92488062822350181</v>
      </c>
      <c r="U3322">
        <v>0.93795692711107148</v>
      </c>
      <c r="V3322">
        <v>0.95065396011745795</v>
      </c>
      <c r="W3322">
        <v>0.96300293037357998</v>
      </c>
      <c r="X3322">
        <v>0.97503098351528283</v>
      </c>
      <c r="Y3322">
        <v>0.98676191003864711</v>
      </c>
      <c r="Z3322">
        <v>0.99821669866579821</v>
      </c>
      <c r="AA3322">
        <v>1.0094139776197957</v>
      </c>
      <c r="AB3322">
        <v>1.0203703703703704</v>
      </c>
    </row>
    <row r="3323" spans="4:28">
      <c r="D3323">
        <v>0.65</v>
      </c>
      <c r="E3323">
        <v>0.60450447756668968</v>
      </c>
      <c r="F3323" s="6">
        <v>0.64779164950352741</v>
      </c>
      <c r="G3323" s="6">
        <v>0.68100706476394857</v>
      </c>
      <c r="H3323" s="6">
        <v>0.70900895513337947</v>
      </c>
      <c r="I3323" s="6">
        <v>0.73367911579222</v>
      </c>
      <c r="J3323" s="6">
        <v>0.75598264587452124</v>
      </c>
      <c r="K3323" s="6">
        <v>0.77649285853418948</v>
      </c>
      <c r="L3323" s="6">
        <v>0.79558329900705504</v>
      </c>
      <c r="M3323" s="6">
        <v>0.81351343270006926</v>
      </c>
      <c r="N3323" s="6">
        <v>0.83047217479671054</v>
      </c>
      <c r="O3323" s="6">
        <v>0.84660214100082298</v>
      </c>
      <c r="P3323">
        <v>0.86201412952789713</v>
      </c>
      <c r="Q3323">
        <v>0.87679625238227599</v>
      </c>
      <c r="R3323">
        <v>0.89101995043835625</v>
      </c>
      <c r="S3323">
        <v>0.90474410121989579</v>
      </c>
      <c r="T3323">
        <v>0.91801791026675894</v>
      </c>
      <c r="U3323">
        <v>0.930882999357453</v>
      </c>
      <c r="V3323">
        <v>0.94337494851058246</v>
      </c>
      <c r="W3323">
        <v>0.95552445686071397</v>
      </c>
      <c r="X3323">
        <v>0.96735823158444012</v>
      </c>
      <c r="Y3323">
        <v>0.97889967891117025</v>
      </c>
      <c r="Z3323">
        <v>0.99016944855091549</v>
      </c>
      <c r="AA3323">
        <v>1.0011858678416574</v>
      </c>
      <c r="AB3323">
        <v>1.0119652917490425</v>
      </c>
    </row>
    <row r="3324" spans="4:28">
      <c r="D3324">
        <v>0.70000000000000007</v>
      </c>
      <c r="E3324">
        <v>0.60306531231594196</v>
      </c>
      <c r="F3324" s="6">
        <v>0.64575636248742407</v>
      </c>
      <c r="G3324" s="6">
        <v>0.67851435742916599</v>
      </c>
      <c r="H3324" s="6">
        <v>0.70613062463188414</v>
      </c>
      <c r="I3324" s="6">
        <v>0.73046104446069271</v>
      </c>
      <c r="J3324" s="6">
        <v>0.75245742535464477</v>
      </c>
      <c r="K3324" s="6">
        <v>0.77268518518518525</v>
      </c>
      <c r="L3324" s="6">
        <v>0.79151272497484804</v>
      </c>
      <c r="M3324" s="6">
        <v>0.80919593694782621</v>
      </c>
      <c r="N3324" s="6">
        <v>0.82592113467498052</v>
      </c>
      <c r="O3324" s="6">
        <v>0.84182896985277511</v>
      </c>
      <c r="P3324">
        <v>0.85702871485833199</v>
      </c>
      <c r="Q3324">
        <v>0.87160726827683921</v>
      </c>
      <c r="R3324">
        <v>0.88563508714710792</v>
      </c>
      <c r="S3324">
        <v>0.89917023817130981</v>
      </c>
      <c r="T3324">
        <v>0.91226124926376806</v>
      </c>
      <c r="U3324">
        <v>0.92494916901590185</v>
      </c>
      <c r="V3324">
        <v>0.93726908746227211</v>
      </c>
      <c r="W3324">
        <v>0.94925128096964939</v>
      </c>
      <c r="X3324">
        <v>0.96092208892138542</v>
      </c>
      <c r="Y3324">
        <v>0.97230459521206891</v>
      </c>
      <c r="Z3324">
        <v>0.98341916517781836</v>
      </c>
      <c r="AA3324">
        <v>0.9942838737648656</v>
      </c>
      <c r="AB3324">
        <v>1.0049148507092895</v>
      </c>
    </row>
    <row r="3325" spans="4:28">
      <c r="D3325">
        <v>0.75000000000000011</v>
      </c>
      <c r="E3325">
        <v>0.60185272867187112</v>
      </c>
      <c r="F3325" s="6">
        <v>0.64404151025246714</v>
      </c>
      <c r="G3325" s="6">
        <v>0.67641410094920817</v>
      </c>
      <c r="H3325" s="6">
        <v>0.70370545734374224</v>
      </c>
      <c r="I3325" s="6">
        <v>0.72774962500414586</v>
      </c>
      <c r="J3325" s="6">
        <v>0.74948721415622654</v>
      </c>
      <c r="K3325" s="6">
        <v>0.76947699041910922</v>
      </c>
      <c r="L3325" s="6">
        <v>0.7880830205049344</v>
      </c>
      <c r="M3325" s="6">
        <v>0.80555818601561358</v>
      </c>
      <c r="N3325" s="6">
        <v>0.82208660850624959</v>
      </c>
      <c r="O3325" s="6">
        <v>0.83780728487847012</v>
      </c>
      <c r="P3325">
        <v>0.85282820189841635</v>
      </c>
      <c r="Q3325">
        <v>0.86723523577235273</v>
      </c>
      <c r="R3325">
        <v>0.88109801459818882</v>
      </c>
      <c r="S3325">
        <v>0.89447392191193964</v>
      </c>
      <c r="T3325">
        <v>0.90741091468748469</v>
      </c>
      <c r="U3325">
        <v>0.91994955857150118</v>
      </c>
      <c r="V3325">
        <v>0.93212453075740165</v>
      </c>
      <c r="W3325">
        <v>0.94396575140455408</v>
      </c>
      <c r="X3325">
        <v>0.95549925000829161</v>
      </c>
      <c r="Y3325">
        <v>0.96674783887664861</v>
      </c>
      <c r="Z3325">
        <v>0.97773164374356425</v>
      </c>
      <c r="AA3325">
        <v>0.98846852689997711</v>
      </c>
      <c r="AB3325">
        <v>0.99897442831245309</v>
      </c>
    </row>
    <row r="3326" spans="4:28">
      <c r="D3326">
        <v>0.80000000000000016</v>
      </c>
      <c r="E3326">
        <v>0.60082818916919289</v>
      </c>
      <c r="F3326" s="6">
        <v>0.6425925925925926</v>
      </c>
      <c r="G3326" s="6">
        <v>0.67463954647620805</v>
      </c>
      <c r="H3326" s="6">
        <v>0.70165637833838579</v>
      </c>
      <c r="I3326" s="6">
        <v>0.72545868503052335</v>
      </c>
      <c r="J3326" s="6">
        <v>0.74697761515333982</v>
      </c>
      <c r="K3326" s="6">
        <v>0.76676631368666059</v>
      </c>
      <c r="L3326" s="6">
        <v>0.78518518518518521</v>
      </c>
      <c r="M3326" s="6">
        <v>0.80248456750757868</v>
      </c>
      <c r="N3326" s="6">
        <v>0.81884673012497</v>
      </c>
      <c r="O3326" s="6">
        <v>0.83440927176518898</v>
      </c>
      <c r="P3326">
        <v>0.8492790929524161</v>
      </c>
      <c r="Q3326">
        <v>0.86354120606170781</v>
      </c>
      <c r="R3326">
        <v>0.87726453879995081</v>
      </c>
      <c r="S3326">
        <v>0.8905058974805351</v>
      </c>
      <c r="T3326">
        <v>0.90331275667677158</v>
      </c>
      <c r="U3326">
        <v>0.91572527398434078</v>
      </c>
      <c r="V3326">
        <v>0.92777777777777781</v>
      </c>
      <c r="W3326">
        <v>0.93949988724871414</v>
      </c>
      <c r="X3326">
        <v>0.95091737006104671</v>
      </c>
      <c r="Y3326">
        <v>0.96205280905315305</v>
      </c>
      <c r="Z3326">
        <v>0.97292612751364027</v>
      </c>
      <c r="AA3326">
        <v>0.98355500805615326</v>
      </c>
      <c r="AB3326">
        <v>0.99395523030667987</v>
      </c>
    </row>
    <row r="3327" spans="4:28">
      <c r="D3327">
        <v>0.8500000000000002</v>
      </c>
      <c r="E3327">
        <v>0.5999614438400086</v>
      </c>
      <c r="F3327" s="6">
        <v>0.64136682959293667</v>
      </c>
      <c r="G3327" s="6">
        <v>0.67313829952883786</v>
      </c>
      <c r="H3327" s="6">
        <v>0.6999228876800172</v>
      </c>
      <c r="I3327" s="6">
        <v>0.72352058355528692</v>
      </c>
      <c r="J3327" s="6">
        <v>0.74485453135989776</v>
      </c>
      <c r="K3327" s="6">
        <v>0.76447312109561216</v>
      </c>
      <c r="L3327" s="6">
        <v>0.78273365918587334</v>
      </c>
      <c r="M3327" s="6">
        <v>0.79988433152002592</v>
      </c>
      <c r="N3327" s="6">
        <v>0.81610584073343528</v>
      </c>
      <c r="O3327" s="6">
        <v>0.83153460271949164</v>
      </c>
      <c r="P3327">
        <v>0.84627659905767583</v>
      </c>
      <c r="Q3327">
        <v>0.86041611133456508</v>
      </c>
      <c r="R3327">
        <v>0.87402147473655689</v>
      </c>
      <c r="S3327">
        <v>0.88714900725520141</v>
      </c>
      <c r="T3327">
        <v>0.89984577536003441</v>
      </c>
      <c r="U3327">
        <v>0.9121515914416034</v>
      </c>
      <c r="V3327">
        <v>0.92410048877881001</v>
      </c>
      <c r="W3327">
        <v>0.93572183194901393</v>
      </c>
      <c r="X3327">
        <v>0.94704116711057384</v>
      </c>
      <c r="Y3327">
        <v>0.95808088297391669</v>
      </c>
      <c r="Z3327">
        <v>0.96886073156188113</v>
      </c>
      <c r="AA3327">
        <v>0.97939824348376736</v>
      </c>
      <c r="AB3327">
        <v>0.98970906271979553</v>
      </c>
    </row>
    <row r="3328" spans="4:28">
      <c r="D3328">
        <v>0.90000000000000024</v>
      </c>
      <c r="E3328">
        <v>0.59922839506172831</v>
      </c>
      <c r="F3328" s="6">
        <v>0.64033014206881178</v>
      </c>
      <c r="G3328" s="6">
        <v>0.67186862180043017</v>
      </c>
      <c r="H3328" s="6">
        <v>0.69845679012345674</v>
      </c>
      <c r="I3328" s="6">
        <v>0.72188143665622917</v>
      </c>
      <c r="J3328" s="6">
        <v>0.74305893589654071</v>
      </c>
      <c r="K3328" s="6">
        <v>0.76253365632940306</v>
      </c>
      <c r="L3328" s="6">
        <v>0.78066028413762345</v>
      </c>
      <c r="M3328" s="6">
        <v>0.79768518518518516</v>
      </c>
      <c r="N3328" s="6">
        <v>0.81378773695806605</v>
      </c>
      <c r="O3328" s="6">
        <v>0.82910335496890775</v>
      </c>
      <c r="P3328">
        <v>0.84373724360086055</v>
      </c>
      <c r="Q3328">
        <v>0.85777306637705941</v>
      </c>
      <c r="R3328">
        <v>0.87127865736043897</v>
      </c>
      <c r="S3328">
        <v>0.88430992154496435</v>
      </c>
      <c r="T3328">
        <v>0.89691358024691359</v>
      </c>
      <c r="U3328">
        <v>0.90912915390002391</v>
      </c>
      <c r="V3328">
        <v>0.92099042620643523</v>
      </c>
      <c r="W3328">
        <v>0.93252654640380439</v>
      </c>
      <c r="X3328">
        <v>0.94376287331245823</v>
      </c>
      <c r="Y3328">
        <v>0.95472163145935263</v>
      </c>
      <c r="Z3328">
        <v>0.96542242801951617</v>
      </c>
      <c r="AA3328">
        <v>0.97588266504476517</v>
      </c>
      <c r="AB3328">
        <v>0.98611787179308119</v>
      </c>
    </row>
    <row r="3329" spans="4:28">
      <c r="D3329">
        <v>0.95000000000000029</v>
      </c>
      <c r="E3329">
        <v>0.59860959534476443</v>
      </c>
      <c r="F3329" s="6">
        <v>0.63945502711668867</v>
      </c>
      <c r="G3329" s="6">
        <v>0.67079682925093942</v>
      </c>
      <c r="H3329" s="6">
        <v>0.69721919068952887</v>
      </c>
      <c r="I3329" s="6">
        <v>0.72049775842464014</v>
      </c>
      <c r="J3329" s="6">
        <v>0.74154319233700028</v>
      </c>
      <c r="K3329" s="6">
        <v>0.76089646616695927</v>
      </c>
      <c r="L3329" s="6">
        <v>0.77891005423337745</v>
      </c>
      <c r="M3329" s="6">
        <v>0.79582878603429341</v>
      </c>
      <c r="N3329" s="6">
        <v>0.81183092043699245</v>
      </c>
      <c r="O3329" s="6">
        <v>0.82705102848736023</v>
      </c>
      <c r="P3329">
        <v>0.84159365850187884</v>
      </c>
      <c r="Q3329">
        <v>0.85554195226830332</v>
      </c>
      <c r="R3329">
        <v>0.86896332082852723</v>
      </c>
      <c r="S3329">
        <v>0.88191332054652516</v>
      </c>
      <c r="T3329">
        <v>0.89443838137905773</v>
      </c>
      <c r="U3329">
        <v>0.9065777773058793</v>
      </c>
      <c r="V3329">
        <v>0.91836508135006611</v>
      </c>
      <c r="W3329">
        <v>0.92982926097126706</v>
      </c>
      <c r="X3329">
        <v>0.94099551684928029</v>
      </c>
      <c r="Y3329">
        <v>0.9518859349163481</v>
      </c>
      <c r="Z3329">
        <v>0.96252000007489424</v>
      </c>
      <c r="AA3329">
        <v>0.97291500585553248</v>
      </c>
      <c r="AB3329">
        <v>0.98308638467400067</v>
      </c>
    </row>
    <row r="3330" spans="4:28">
      <c r="D3330">
        <v>1.0000000000000002</v>
      </c>
      <c r="E3330">
        <v>0.59808916816263025</v>
      </c>
      <c r="F3330" s="6">
        <v>0.63871903193748703</v>
      </c>
      <c r="G3330" s="6">
        <v>0.66989542292984317</v>
      </c>
      <c r="H3330" s="6">
        <v>0.69617833632526049</v>
      </c>
      <c r="I3330" s="6">
        <v>0.71933404786804955</v>
      </c>
      <c r="J3330" s="6">
        <v>0.7402684112924971</v>
      </c>
      <c r="K3330" s="6">
        <v>0.7595195452675142</v>
      </c>
      <c r="L3330" s="6">
        <v>0.77743806387497383</v>
      </c>
      <c r="M3330" s="6">
        <v>0.79426750448789085</v>
      </c>
      <c r="N3330" s="6">
        <v>0.81018518518518523</v>
      </c>
      <c r="O3330" s="6">
        <v>0.8253249667935193</v>
      </c>
      <c r="P3330">
        <v>0.83979084585968644</v>
      </c>
      <c r="Q3330">
        <v>0.85366552537797347</v>
      </c>
      <c r="R3330">
        <v>0.8670160606182169</v>
      </c>
      <c r="S3330">
        <v>0.8798977147372059</v>
      </c>
      <c r="T3330">
        <v>0.8923566726505211</v>
      </c>
      <c r="U3330">
        <v>0.90443200106349764</v>
      </c>
      <c r="V3330">
        <v>0.91615709581246096</v>
      </c>
      <c r="W3330">
        <v>0.92756077147687255</v>
      </c>
      <c r="X3330">
        <v>0.93866809573609888</v>
      </c>
      <c r="Y3330">
        <v>0.94950103796050578</v>
      </c>
      <c r="Z3330">
        <v>0.96007898021797167</v>
      </c>
      <c r="AA3330">
        <v>0.97041912476986458</v>
      </c>
      <c r="AB3330">
        <v>0.98053682258499431</v>
      </c>
    </row>
    <row r="3331" spans="4:28">
      <c r="D3331">
        <v>1.0500000000000003</v>
      </c>
      <c r="E3331">
        <v>0.59765401823989805</v>
      </c>
      <c r="F3331" s="6">
        <v>0.63810363701509321</v>
      </c>
      <c r="G3331" s="6">
        <v>0.66914172115476123</v>
      </c>
      <c r="H3331" s="6">
        <v>0.69530803647979589</v>
      </c>
      <c r="I3331" s="6">
        <v>0.71836102306041627</v>
      </c>
      <c r="J3331" s="6">
        <v>0.73920251602019149</v>
      </c>
      <c r="K3331" s="6">
        <v>0.75836824678893555</v>
      </c>
      <c r="L3331" s="6">
        <v>0.77620727403018663</v>
      </c>
      <c r="M3331" s="6">
        <v>0.79296205471969394</v>
      </c>
      <c r="N3331" s="6">
        <v>0.80880912030570484</v>
      </c>
      <c r="O3331" s="6">
        <v>0.82388173777226403</v>
      </c>
      <c r="P3331">
        <v>0.83828344230952223</v>
      </c>
      <c r="Q3331">
        <v>0.85209657001904793</v>
      </c>
      <c r="R3331">
        <v>0.86538787869547151</v>
      </c>
      <c r="S3331">
        <v>0.87821238633336018</v>
      </c>
      <c r="T3331">
        <v>0.890616072959592</v>
      </c>
      <c r="U3331">
        <v>0.90263783196909297</v>
      </c>
      <c r="V3331">
        <v>0.91431091104527995</v>
      </c>
      <c r="W3331">
        <v>0.92566399693839296</v>
      </c>
      <c r="X3331">
        <v>0.93672204612083254</v>
      </c>
      <c r="Y3331">
        <v>0.94750693050093071</v>
      </c>
      <c r="Z3331">
        <v>0.95803794616250215</v>
      </c>
      <c r="AA3331">
        <v>0.968332219053058</v>
      </c>
      <c r="AB3331">
        <v>0.97840503204038298</v>
      </c>
    </row>
    <row r="3332" spans="4:28">
      <c r="D3332">
        <v>1.1000000000000003</v>
      </c>
      <c r="E3332">
        <v>0.59729324406050976</v>
      </c>
      <c r="F3332" s="6">
        <v>0.63759342527764862</v>
      </c>
      <c r="G3332" s="6">
        <v>0.66851684194600192</v>
      </c>
      <c r="H3332" s="6">
        <v>0.69458648812101964</v>
      </c>
      <c r="I3332" s="6">
        <v>0.71755430747077775</v>
      </c>
      <c r="J3332" s="6">
        <v>0.73831880336831923</v>
      </c>
      <c r="K3332" s="6">
        <v>0.75741372803082108</v>
      </c>
      <c r="L3332" s="6">
        <v>0.77518685055529712</v>
      </c>
      <c r="M3332" s="6">
        <v>0.79187973218152952</v>
      </c>
      <c r="N3332" s="6">
        <v>0.8076682521778602</v>
      </c>
      <c r="O3332" s="6">
        <v>0.82268518518518519</v>
      </c>
      <c r="P3332">
        <v>0.83703368389200383</v>
      </c>
      <c r="Q3332">
        <v>0.85079578021640045</v>
      </c>
      <c r="R3332">
        <v>0.86403798532220644</v>
      </c>
      <c r="S3332">
        <v>0.87681511394484823</v>
      </c>
      <c r="T3332">
        <v>0.88917297624203928</v>
      </c>
      <c r="U3332">
        <v>0.90115032192048017</v>
      </c>
      <c r="V3332">
        <v>0.91278027583294574</v>
      </c>
      <c r="W3332">
        <v>0.92409141874900125</v>
      </c>
      <c r="X3332">
        <v>0.93510861494155528</v>
      </c>
      <c r="Y3332">
        <v>0.94585365551509915</v>
      </c>
      <c r="Z3332">
        <v>0.95634576526576265</v>
      </c>
      <c r="AA3332">
        <v>0.96660200687075104</v>
      </c>
      <c r="AB3332">
        <v>0.97663760673663846</v>
      </c>
    </row>
    <row r="3333" spans="4:28">
      <c r="D3333">
        <v>1.1500000000000004</v>
      </c>
      <c r="E3333">
        <v>0.59699769430375405</v>
      </c>
      <c r="F3333" s="6">
        <v>0.63717545480328852</v>
      </c>
      <c r="G3333" s="6">
        <v>0.66800493475113631</v>
      </c>
      <c r="H3333" s="6">
        <v>0.6939953886075082</v>
      </c>
      <c r="I3333" s="6">
        <v>0.71689343812393824</v>
      </c>
      <c r="J3333" s="6">
        <v>0.73759485727066387</v>
      </c>
      <c r="K3333" s="6">
        <v>0.75663177687439975</v>
      </c>
      <c r="L3333" s="6">
        <v>0.77435090960657704</v>
      </c>
      <c r="M3333" s="6">
        <v>0.79099308291126236</v>
      </c>
      <c r="N3333" s="6">
        <v>0.80673364178460327</v>
      </c>
      <c r="O3333" s="6">
        <v>0.82170495753514561</v>
      </c>
      <c r="P3333">
        <v>0.83600986950227274</v>
      </c>
      <c r="Q3333">
        <v>0.84973016041396676</v>
      </c>
      <c r="R3333">
        <v>0.86293213939168223</v>
      </c>
      <c r="S3333">
        <v>0.87567045465895754</v>
      </c>
      <c r="T3333">
        <v>0.88799077721501629</v>
      </c>
      <c r="U3333">
        <v>0.89993173905575052</v>
      </c>
      <c r="V3333">
        <v>0.91152636440986556</v>
      </c>
      <c r="W3333">
        <v>0.92280314722651491</v>
      </c>
      <c r="X3333">
        <v>0.93378687624787649</v>
      </c>
      <c r="Y3333">
        <v>0.94449927638313991</v>
      </c>
      <c r="Z3333">
        <v>0.95495951402886348</v>
      </c>
      <c r="AA3333">
        <v>0.96518460003059448</v>
      </c>
      <c r="AB3333">
        <v>0.97518971454132786</v>
      </c>
    </row>
    <row r="3334" spans="4:28">
      <c r="D3334">
        <v>1.2000000000000004</v>
      </c>
      <c r="E3334">
        <v>0.59675962844752062</v>
      </c>
      <c r="F3334" s="6">
        <v>0.6368387788406652</v>
      </c>
      <c r="G3334" s="6">
        <v>0.66759259259259252</v>
      </c>
      <c r="H3334" s="6">
        <v>0.69351925689504124</v>
      </c>
      <c r="I3334" s="6">
        <v>0.7163611066862785</v>
      </c>
      <c r="J3334" s="6">
        <v>0.7370117173977131</v>
      </c>
      <c r="K3334" s="6">
        <v>0.75600191382315041</v>
      </c>
      <c r="L3334" s="6">
        <v>0.7736775576813304</v>
      </c>
      <c r="M3334" s="6">
        <v>0.79027888534256185</v>
      </c>
      <c r="N3334" s="6">
        <v>0.80598081144578737</v>
      </c>
      <c r="O3334" s="6">
        <v>0.82091538241462447</v>
      </c>
      <c r="P3334">
        <v>0.83518518518518525</v>
      </c>
      <c r="Q3334">
        <v>0.84887180176237964</v>
      </c>
      <c r="R3334">
        <v>0.86204137852216745</v>
      </c>
      <c r="S3334">
        <v>0.87474842956246479</v>
      </c>
      <c r="T3334">
        <v>0.88703851379008247</v>
      </c>
      <c r="U3334">
        <v>0.89895016838464681</v>
      </c>
      <c r="V3334">
        <v>0.9105163365219956</v>
      </c>
      <c r="W3334">
        <v>0.92176544221728574</v>
      </c>
      <c r="X3334">
        <v>0.93272221337255701</v>
      </c>
      <c r="Y3334">
        <v>0.94340832157656562</v>
      </c>
      <c r="Z3334">
        <v>0.9538428861849102</v>
      </c>
      <c r="AA3334">
        <v>0.96404287629264562</v>
      </c>
      <c r="AB3334">
        <v>0.97402343479542619</v>
      </c>
    </row>
    <row r="3335" spans="4:28">
      <c r="D3335">
        <v>1.2500000000000004</v>
      </c>
      <c r="E3335">
        <v>0.5965724539120516</v>
      </c>
      <c r="F3335" s="6">
        <v>0.63657407407407407</v>
      </c>
      <c r="G3335" s="6">
        <v>0.66726839678727723</v>
      </c>
      <c r="H3335" s="6">
        <v>0.69314490782410332</v>
      </c>
      <c r="I3335" s="6">
        <v>0.71594257170131292</v>
      </c>
      <c r="J3335" s="6">
        <v>0.73655323529297168</v>
      </c>
      <c r="K3335" s="6">
        <v>0.75550669655053526</v>
      </c>
      <c r="L3335" s="6">
        <v>0.77314814814814814</v>
      </c>
      <c r="M3335" s="6">
        <v>0.78971736173615492</v>
      </c>
      <c r="N3335" s="6">
        <v>0.80538891359372133</v>
      </c>
      <c r="O3335" s="6">
        <v>0.82029459471016475</v>
      </c>
      <c r="P3335">
        <v>0.83453679357455446</v>
      </c>
      <c r="Q3335">
        <v>0.84819693437728505</v>
      </c>
      <c r="R3335">
        <v>0.86134103553891395</v>
      </c>
      <c r="S3335">
        <v>0.87402350570375931</v>
      </c>
      <c r="T3335">
        <v>0.88628981564820652</v>
      </c>
      <c r="U3335">
        <v>0.89817842800448233</v>
      </c>
      <c r="V3335">
        <v>0.90972222222222221</v>
      </c>
      <c r="W3335">
        <v>0.92094956733237221</v>
      </c>
      <c r="X3335">
        <v>0.93188514340262585</v>
      </c>
      <c r="Y3335">
        <v>0.94255058009961079</v>
      </c>
      <c r="Z3335">
        <v>0.95296495979390872</v>
      </c>
      <c r="AA3335">
        <v>0.96314521875508197</v>
      </c>
      <c r="AB3335">
        <v>0.97310647058594335</v>
      </c>
    </row>
    <row r="3336" spans="4:28">
      <c r="D3336">
        <v>1.3000000000000005</v>
      </c>
      <c r="E3336">
        <v>0.5964305202234137</v>
      </c>
      <c r="F3336" s="6">
        <v>0.63637334952664459</v>
      </c>
      <c r="G3336" s="6">
        <v>0.66702256042725061</v>
      </c>
      <c r="H3336" s="6">
        <v>0.69286104044682728</v>
      </c>
      <c r="I3336" s="6">
        <v>0.7156251983252212</v>
      </c>
      <c r="J3336" s="6">
        <v>0.73620557017849764</v>
      </c>
      <c r="K3336" s="6">
        <v>0.75513117530773721</v>
      </c>
      <c r="L3336" s="6">
        <v>0.7727466990532893</v>
      </c>
      <c r="M3336" s="6">
        <v>0.78929156067024098</v>
      </c>
      <c r="N3336" s="6">
        <v>0.8049400798609162</v>
      </c>
      <c r="O3336" s="6">
        <v>0.81982385391984158</v>
      </c>
      <c r="P3336">
        <v>0.83404512085450122</v>
      </c>
      <c r="Q3336">
        <v>0.84768518518518521</v>
      </c>
      <c r="R3336">
        <v>0.86080996830438972</v>
      </c>
      <c r="S3336">
        <v>0.87347379889139865</v>
      </c>
      <c r="T3336">
        <v>0.88572208089365467</v>
      </c>
      <c r="U3336">
        <v>0.89759322041439438</v>
      </c>
      <c r="V3336">
        <v>0.90912004857993389</v>
      </c>
      <c r="W3336">
        <v>0.92033089272691537</v>
      </c>
      <c r="X3336">
        <v>0.93125039665044229</v>
      </c>
      <c r="Y3336">
        <v>0.94190015822776307</v>
      </c>
      <c r="Z3336">
        <v>0.95229923178387144</v>
      </c>
      <c r="AA3336">
        <v>0.96246452869689192</v>
      </c>
      <c r="AB3336">
        <v>0.97241114035699516</v>
      </c>
    </row>
    <row r="3337" spans="4:28">
      <c r="D3337">
        <v>1.3500000000000005</v>
      </c>
      <c r="E3337">
        <v>0.59632895619124182</v>
      </c>
      <c r="F3337" s="6">
        <v>0.63622971629489777</v>
      </c>
      <c r="G3337" s="6">
        <v>0.66684664636330737</v>
      </c>
      <c r="H3337" s="6">
        <v>0.69265791238248353</v>
      </c>
      <c r="I3337" s="6">
        <v>0.71539809424521583</v>
      </c>
      <c r="J3337" s="6">
        <v>0.73595679012345683</v>
      </c>
      <c r="K3337" s="6">
        <v>0.75486246213646135</v>
      </c>
      <c r="L3337" s="6">
        <v>0.77245943258979566</v>
      </c>
      <c r="M3337" s="6">
        <v>0.78898686857372535</v>
      </c>
      <c r="N3337" s="6">
        <v>0.80461890619090237</v>
      </c>
      <c r="O3337" s="6">
        <v>0.81948700413293174</v>
      </c>
      <c r="P3337">
        <v>0.83369329272661452</v>
      </c>
      <c r="Q3337">
        <v>0.8473189908594464</v>
      </c>
      <c r="R3337">
        <v>0.86042995049318305</v>
      </c>
      <c r="S3337">
        <v>0.87308044308622312</v>
      </c>
      <c r="T3337">
        <v>0.88531582476496695</v>
      </c>
      <c r="U3337">
        <v>0.89717446118198607</v>
      </c>
      <c r="V3337">
        <v>0.90868914888469343</v>
      </c>
      <c r="W3337">
        <v>0.91988818537437944</v>
      </c>
      <c r="X3337">
        <v>0.93079618849043155</v>
      </c>
      <c r="Y3337">
        <v>0.94143473336245043</v>
      </c>
      <c r="Z3337">
        <v>0.95182285424674107</v>
      </c>
      <c r="AA3337">
        <v>0.96197744470976709</v>
      </c>
      <c r="AB3337">
        <v>0.97191358024691366</v>
      </c>
    </row>
    <row r="3338" spans="4:28">
      <c r="D3338">
        <v>1.4000000000000006</v>
      </c>
      <c r="E3338">
        <v>0.59626353991104919</v>
      </c>
      <c r="F3338" s="6">
        <v>0.63613720370424942</v>
      </c>
      <c r="G3338" s="6">
        <v>0.66673334204237156</v>
      </c>
      <c r="H3338" s="6">
        <v>0.69252707982209838</v>
      </c>
      <c r="I3338" s="6">
        <v>0.71525181899586998</v>
      </c>
      <c r="J3338" s="6">
        <v>0.73579655361611396</v>
      </c>
      <c r="K3338" s="6">
        <v>0.75468938692737675</v>
      </c>
      <c r="L3338" s="6">
        <v>0.77227440740849895</v>
      </c>
      <c r="M3338" s="6">
        <v>0.78879061973314746</v>
      </c>
      <c r="N3338" s="6">
        <v>0.80441204174943792</v>
      </c>
      <c r="O3338" s="6">
        <v>0.81927004287635219</v>
      </c>
      <c r="P3338">
        <v>0.83346668408474311</v>
      </c>
      <c r="Q3338">
        <v>0.84708312910696204</v>
      </c>
      <c r="R3338">
        <v>0.86018518518518516</v>
      </c>
      <c r="S3338">
        <v>0.87282708692246636</v>
      </c>
      <c r="T3338">
        <v>0.88505415964419654</v>
      </c>
      <c r="U3338">
        <v>0.89690474294911693</v>
      </c>
      <c r="V3338">
        <v>0.90841161111274826</v>
      </c>
      <c r="W3338">
        <v>0.91960304241975754</v>
      </c>
      <c r="X3338">
        <v>0.93050363799173985</v>
      </c>
      <c r="Y3338">
        <v>0.94113495830678529</v>
      </c>
      <c r="Z3338">
        <v>0.9515160246951766</v>
      </c>
      <c r="AA3338">
        <v>0.96166371925108152</v>
      </c>
      <c r="AB3338">
        <v>0.97159310723222791</v>
      </c>
    </row>
    <row r="3339" spans="4:28">
      <c r="D3339">
        <v>1.4500000000000006</v>
      </c>
      <c r="E3339">
        <v>0.59623059408191703</v>
      </c>
      <c r="F3339" s="6">
        <v>0.63609061126586719</v>
      </c>
      <c r="G3339" s="6">
        <v>0.66667627819241726</v>
      </c>
      <c r="H3339" s="6">
        <v>0.69246118816383406</v>
      </c>
      <c r="I3339" s="6">
        <v>0.71517814988235551</v>
      </c>
      <c r="J3339" s="6">
        <v>0.73571585314558741</v>
      </c>
      <c r="K3339" s="6">
        <v>0.7546022204567564</v>
      </c>
      <c r="L3339" s="6">
        <v>0.77218122253173438</v>
      </c>
      <c r="M3339" s="6">
        <v>0.78869178224575121</v>
      </c>
      <c r="N3339" s="6">
        <v>0.80430785788997783</v>
      </c>
      <c r="O3339" s="6">
        <v>0.81916077392271369</v>
      </c>
      <c r="P3339">
        <v>0.83335255638483452</v>
      </c>
      <c r="Q3339">
        <v>0.84696434123071351</v>
      </c>
      <c r="R3339">
        <v>0.8600619131802496</v>
      </c>
      <c r="S3339">
        <v>0.87269948827491073</v>
      </c>
      <c r="T3339">
        <v>0.88492237632766824</v>
      </c>
      <c r="U3339">
        <v>0.89676890381568164</v>
      </c>
      <c r="V3339">
        <v>0.90827183379760157</v>
      </c>
      <c r="W3339">
        <v>0.91945943487995963</v>
      </c>
      <c r="X3339">
        <v>0.9303562997647109</v>
      </c>
      <c r="Y3339">
        <v>0.94098398155095431</v>
      </c>
      <c r="Z3339">
        <v>0.95136149505899503</v>
      </c>
      <c r="AA3339">
        <v>0.96150571660516815</v>
      </c>
      <c r="AB3339">
        <v>0.9714317062911747</v>
      </c>
    </row>
    <row r="3340" spans="4:28">
      <c r="D3340">
        <v>1.5000000000000007</v>
      </c>
      <c r="E3340">
        <v>0.59622690104002996</v>
      </c>
      <c r="F3340" s="6">
        <v>0.63608538851594398</v>
      </c>
      <c r="G3340" s="6">
        <v>0.66666988165623442</v>
      </c>
      <c r="H3340" s="6">
        <v>0.69245380208005991</v>
      </c>
      <c r="I3340" s="6">
        <v>0.71516989198965231</v>
      </c>
      <c r="J3340" s="6">
        <v>0.73570680707736535</v>
      </c>
      <c r="K3340" s="6">
        <v>0.75459244958634186</v>
      </c>
      <c r="L3340" s="6">
        <v>0.77217077703188819</v>
      </c>
      <c r="M3340" s="6">
        <v>0.78868070312008998</v>
      </c>
      <c r="N3340" s="6">
        <v>0.80429617946612009</v>
      </c>
      <c r="O3340" s="6">
        <v>0.81914852548843919</v>
      </c>
      <c r="P3340">
        <v>0.83333976331246862</v>
      </c>
      <c r="Q3340">
        <v>0.84695102577882719</v>
      </c>
      <c r="R3340">
        <v>0.86004809508279312</v>
      </c>
      <c r="S3340">
        <v>0.87268518518518512</v>
      </c>
      <c r="T3340">
        <v>0.88490760416011982</v>
      </c>
      <c r="U3340">
        <v>0.89675367701390152</v>
      </c>
      <c r="V3340">
        <v>0.90825616554783206</v>
      </c>
      <c r="W3340">
        <v>0.91944333728357952</v>
      </c>
      <c r="X3340">
        <v>0.93033978397930439</v>
      </c>
      <c r="Y3340">
        <v>0.94096705790696211</v>
      </c>
      <c r="Z3340">
        <v>0.95134417315712594</v>
      </c>
      <c r="AA3340">
        <v>0.96148800539846924</v>
      </c>
      <c r="AB3340">
        <v>0.9714136141547306</v>
      </c>
    </row>
    <row r="3341" spans="4:28">
      <c r="D3341">
        <v>1.5500000000000007</v>
      </c>
      <c r="E3341">
        <v>0.59624963328671843</v>
      </c>
      <c r="F3341" s="6">
        <v>0.63611753676751404</v>
      </c>
      <c r="G3341" s="6">
        <v>0.66670925506246903</v>
      </c>
      <c r="H3341" s="6">
        <v>0.69249926657343686</v>
      </c>
      <c r="I3341" s="6">
        <v>0.715220722838529</v>
      </c>
      <c r="J3341" s="6">
        <v>0.73576248948245915</v>
      </c>
      <c r="K3341" s="6">
        <v>0.75465259345782143</v>
      </c>
      <c r="L3341" s="6">
        <v>0.77223507353502829</v>
      </c>
      <c r="M3341" s="6">
        <v>0.78874889986015528</v>
      </c>
      <c r="N3341" s="6">
        <v>0.80436806514198866</v>
      </c>
      <c r="O3341" s="6">
        <v>0.81922391982134679</v>
      </c>
      <c r="P3341">
        <v>0.83341851012493795</v>
      </c>
      <c r="Q3341">
        <v>0.84703298805986893</v>
      </c>
      <c r="R3341">
        <v>0.86013315136153312</v>
      </c>
      <c r="S3341">
        <v>0.8727732267980316</v>
      </c>
      <c r="T3341">
        <v>0.88499853314687382</v>
      </c>
      <c r="U3341">
        <v>0.89684740446810562</v>
      </c>
      <c r="V3341">
        <v>0.90835261030254233</v>
      </c>
      <c r="W3341">
        <v>0.91954242484965421</v>
      </c>
      <c r="X3341">
        <v>0.93044144567705789</v>
      </c>
      <c r="Y3341">
        <v>0.94107123014812843</v>
      </c>
      <c r="Z3341">
        <v>0.95145079684524991</v>
      </c>
      <c r="AA3341">
        <v>0.96159702542373349</v>
      </c>
      <c r="AB3341">
        <v>0.97152497896491841</v>
      </c>
    </row>
    <row r="3342" spans="4:28">
      <c r="D3342">
        <v>1.6000000000000008</v>
      </c>
      <c r="E3342">
        <v>0.59629629629629632</v>
      </c>
      <c r="F3342" s="6">
        <v>0.6361835282285202</v>
      </c>
      <c r="G3342" s="6">
        <v>0.66679007776589183</v>
      </c>
      <c r="H3342" s="6">
        <v>0.69259259259259265</v>
      </c>
      <c r="I3342" s="6">
        <v>0.71532506449997979</v>
      </c>
      <c r="J3342" s="6">
        <v>0.73587679004578754</v>
      </c>
      <c r="K3342" s="6">
        <v>0.75477605217659027</v>
      </c>
      <c r="L3342" s="6">
        <v>0.77236705645704051</v>
      </c>
      <c r="M3342" s="6">
        <v>0.78888888888888886</v>
      </c>
      <c r="N3342" s="6">
        <v>0.80451562653473285</v>
      </c>
      <c r="O3342" s="6">
        <v>0.81937868351570509</v>
      </c>
      <c r="P3342">
        <v>0.83358015553178377</v>
      </c>
      <c r="Q3342">
        <v>0.84720123393356928</v>
      </c>
      <c r="R3342">
        <v>0.86030774835600921</v>
      </c>
      <c r="S3342">
        <v>0.87295395185701041</v>
      </c>
      <c r="T3342">
        <v>0.88518518518518519</v>
      </c>
      <c r="U3342">
        <v>0.89703980098540437</v>
      </c>
      <c r="V3342">
        <v>0.90855058468556082</v>
      </c>
      <c r="W3342">
        <v>0.91974582419280559</v>
      </c>
      <c r="X3342">
        <v>0.93065012899995958</v>
      </c>
      <c r="Y3342">
        <v>0.94128506692167346</v>
      </c>
      <c r="Z3342">
        <v>0.95166966576077461</v>
      </c>
      <c r="AA3342">
        <v>0.96182081335603964</v>
      </c>
      <c r="AB3342">
        <v>0.97175358009157498</v>
      </c>
    </row>
    <row r="3343" spans="4:28">
      <c r="D3343">
        <v>1.6500000000000008</v>
      </c>
      <c r="E3343">
        <v>0.59636468113243124</v>
      </c>
      <c r="F3343" s="6">
        <v>0.63628023899124309</v>
      </c>
      <c r="G3343" s="6">
        <v>0.66690852377654497</v>
      </c>
      <c r="H3343" s="6">
        <v>0.69272936226486259</v>
      </c>
      <c r="I3343" s="6">
        <v>0.71547797764220777</v>
      </c>
      <c r="J3343" s="6">
        <v>0.73604429800046223</v>
      </c>
      <c r="K3343" s="6">
        <v>0.7549569814464514</v>
      </c>
      <c r="L3343" s="6">
        <v>0.77256047798248617</v>
      </c>
      <c r="M3343" s="6">
        <v>0.78909404339729405</v>
      </c>
      <c r="N3343" s="6">
        <v>0.80473187837433691</v>
      </c>
      <c r="O3343" s="6">
        <v>0.81960549035851493</v>
      </c>
      <c r="P3343">
        <v>0.83381704755309005</v>
      </c>
      <c r="Q3343">
        <v>0.8474477989667184</v>
      </c>
      <c r="R3343">
        <v>0.8605636209832771</v>
      </c>
      <c r="S3343">
        <v>0.8732188051884946</v>
      </c>
      <c r="T3343">
        <v>0.88545872452972529</v>
      </c>
      <c r="U3343">
        <v>0.8973217588879796</v>
      </c>
      <c r="V3343">
        <v>0.90884071697372926</v>
      </c>
      <c r="W3343">
        <v>0.92004390678278869</v>
      </c>
      <c r="X3343">
        <v>0.93095595528441555</v>
      </c>
      <c r="Y3343">
        <v>0.94159844560964934</v>
      </c>
      <c r="Z3343">
        <v>0.95199041907391535</v>
      </c>
      <c r="AA3343">
        <v>0.96214877550889255</v>
      </c>
      <c r="AB3343">
        <v>0.97208859600092434</v>
      </c>
    </row>
    <row r="3344" spans="4:28">
      <c r="D3344">
        <v>1.7000000000000008</v>
      </c>
      <c r="E3344">
        <v>0.5964528249565787</v>
      </c>
      <c r="F3344" s="6">
        <v>0.63640489318279181</v>
      </c>
      <c r="G3344" s="6">
        <v>0.66706119335834169</v>
      </c>
      <c r="H3344" s="6">
        <v>0.6929056499131574</v>
      </c>
      <c r="I3344" s="6">
        <v>0.71567507322479829</v>
      </c>
      <c r="J3344" s="6">
        <v>0.73626020539360093</v>
      </c>
      <c r="K3344" s="6">
        <v>0.75519018808475158</v>
      </c>
      <c r="L3344" s="6">
        <v>0.77280978636558362</v>
      </c>
      <c r="M3344" s="6">
        <v>0.78935847486973609</v>
      </c>
      <c r="N3344" s="6">
        <v>0.80501061362032011</v>
      </c>
      <c r="O3344" s="6">
        <v>0.819897830350799</v>
      </c>
      <c r="P3344">
        <v>0.83412238671668348</v>
      </c>
      <c r="Q3344">
        <v>0.8477656060442974</v>
      </c>
      <c r="R3344">
        <v>0.86089342497399668</v>
      </c>
      <c r="S3344">
        <v>0.87356018475148856</v>
      </c>
      <c r="T3344">
        <v>0.8858112998263149</v>
      </c>
      <c r="U3344">
        <v>0.89768518518518514</v>
      </c>
      <c r="V3344">
        <v>0.9092146795483752</v>
      </c>
      <c r="W3344">
        <v>0.92042811680474446</v>
      </c>
      <c r="X3344">
        <v>0.93135014644959635</v>
      </c>
      <c r="Y3344">
        <v>0.94200237135584775</v>
      </c>
      <c r="Z3344">
        <v>0.95240385025582741</v>
      </c>
      <c r="AA3344">
        <v>0.9625714984393241</v>
      </c>
      <c r="AB3344">
        <v>0.97252041078720186</v>
      </c>
    </row>
    <row r="3345" spans="1:28">
      <c r="D3345">
        <v>1.7500000000000009</v>
      </c>
      <c r="E3345">
        <v>0.59655897793002399</v>
      </c>
      <c r="F3345" s="6">
        <v>0.63655501615752419</v>
      </c>
      <c r="G3345" s="6">
        <v>0.66724505570172332</v>
      </c>
      <c r="H3345" s="6">
        <v>0.69311795586004787</v>
      </c>
      <c r="I3345" s="6">
        <v>0.71591243848943542</v>
      </c>
      <c r="J3345" s="6">
        <v>0.73652022601322087</v>
      </c>
      <c r="K3345" s="6">
        <v>0.75547104245341778</v>
      </c>
      <c r="L3345" s="6">
        <v>0.77311003231504838</v>
      </c>
      <c r="M3345" s="6">
        <v>0.78967693379007176</v>
      </c>
      <c r="N3345" s="6">
        <v>0.8053462987968063</v>
      </c>
      <c r="O3345" s="6">
        <v>0.82024989993409736</v>
      </c>
      <c r="P3345">
        <v>0.83449011140344664</v>
      </c>
      <c r="Q3345">
        <v>0.84814834603309697</v>
      </c>
      <c r="R3345">
        <v>0.86129061303121601</v>
      </c>
      <c r="S3345">
        <v>0.87397131344979229</v>
      </c>
      <c r="T3345">
        <v>0.88623591172009564</v>
      </c>
      <c r="U3345">
        <v>0.89812286510717321</v>
      </c>
      <c r="V3345">
        <v>0.90966504847257257</v>
      </c>
      <c r="W3345">
        <v>0.92089082688854851</v>
      </c>
      <c r="X3345">
        <v>0.93182487697887084</v>
      </c>
      <c r="Y3345">
        <v>0.94248882539190504</v>
      </c>
      <c r="Z3345">
        <v>0.95290175183542691</v>
      </c>
      <c r="AA3345">
        <v>0.96308059021566583</v>
      </c>
      <c r="AB3345">
        <v>0.97304045202644174</v>
      </c>
    </row>
    <row r="3346" spans="1:28">
      <c r="D3346">
        <v>1.8000000000000009</v>
      </c>
      <c r="E3346">
        <v>0.59668157532890143</v>
      </c>
      <c r="F3346" s="6">
        <v>0.6367283950617284</v>
      </c>
      <c r="G3346" s="6">
        <v>0.66745740062545489</v>
      </c>
      <c r="H3346" s="6">
        <v>0.69336315065780285</v>
      </c>
      <c r="I3346" s="6">
        <v>0.71618657460719015</v>
      </c>
      <c r="J3346" s="6">
        <v>0.73682052708426315</v>
      </c>
      <c r="K3346" s="6">
        <v>0.75579540468223083</v>
      </c>
      <c r="L3346" s="6">
        <v>0.77345679012345681</v>
      </c>
      <c r="M3346" s="6">
        <v>0.79004472598670428</v>
      </c>
      <c r="N3346" s="6">
        <v>0.80573398581247124</v>
      </c>
      <c r="O3346" s="6">
        <v>0.82065650950644742</v>
      </c>
      <c r="P3346">
        <v>0.83491480125090978</v>
      </c>
      <c r="Q3346">
        <v>0.84859037724098829</v>
      </c>
      <c r="R3346">
        <v>0.86174933049432523</v>
      </c>
      <c r="S3346">
        <v>0.8744461311339331</v>
      </c>
      <c r="T3346">
        <v>0.88672630131560559</v>
      </c>
      <c r="U3346">
        <v>0.89862834713217099</v>
      </c>
      <c r="V3346">
        <v>0.91018518518518521</v>
      </c>
      <c r="W3346">
        <v>0.92142521656099641</v>
      </c>
      <c r="X3346">
        <v>0.93237314921438019</v>
      </c>
      <c r="Y3346">
        <v>0.94305063725226579</v>
      </c>
      <c r="Z3346">
        <v>0.95347678460723528</v>
      </c>
      <c r="AA3346">
        <v>0.96366854668587865</v>
      </c>
      <c r="AB3346">
        <v>0.97364105416852642</v>
      </c>
    </row>
    <row r="3347" spans="1:28">
      <c r="D3347">
        <v>1.850000000000001</v>
      </c>
      <c r="E3347">
        <v>0.59681921393524573</v>
      </c>
      <c r="F3347" s="6">
        <v>0.63692304544552669</v>
      </c>
      <c r="G3347" s="6">
        <v>0.66769579768472642</v>
      </c>
      <c r="H3347" s="6">
        <v>0.69363842787049157</v>
      </c>
      <c r="I3347" s="6">
        <v>0.71649434388730449</v>
      </c>
      <c r="J3347" s="6">
        <v>0.73715767143871469</v>
      </c>
      <c r="K3347" s="6">
        <v>0.75615956220541958</v>
      </c>
      <c r="L3347" s="6">
        <v>0.7738460908910535</v>
      </c>
      <c r="M3347" s="6">
        <v>0.79045764180573741</v>
      </c>
      <c r="N3347" s="6">
        <v>0.80616923730249079</v>
      </c>
      <c r="O3347" s="6">
        <v>0.82111300512035912</v>
      </c>
      <c r="P3347">
        <v>0.83539159536945273</v>
      </c>
      <c r="Q3347">
        <v>0.84908664029364633</v>
      </c>
      <c r="R3347">
        <v>0.86226432700245903</v>
      </c>
      <c r="S3347">
        <v>0.87497920316409994</v>
      </c>
      <c r="T3347">
        <v>0.88727685574098314</v>
      </c>
      <c r="U3347">
        <v>0.89919584564429167</v>
      </c>
      <c r="V3347">
        <v>0.91076913633658019</v>
      </c>
      <c r="W3347">
        <v>0.92202516933678136</v>
      </c>
      <c r="X3347">
        <v>0.93298868777460897</v>
      </c>
      <c r="Y3347">
        <v>0.94368137658438722</v>
      </c>
      <c r="Z3347">
        <v>0.95412236689559304</v>
      </c>
      <c r="AA3347">
        <v>0.96432863825300985</v>
      </c>
      <c r="AB3347">
        <v>0.97431534287742927</v>
      </c>
    </row>
    <row r="3348" spans="1:28">
      <c r="D3348">
        <v>1.900000000000001</v>
      </c>
      <c r="E3348">
        <v>0.59697063195547362</v>
      </c>
      <c r="F3348" s="6">
        <v>0.63713718286332055</v>
      </c>
      <c r="G3348" s="6">
        <v>0.66795806138894243</v>
      </c>
      <c r="H3348" s="6">
        <v>0.69394126391094713</v>
      </c>
      <c r="I3348" s="6">
        <v>0.71683292487355221</v>
      </c>
      <c r="J3348" s="6">
        <v>0.73752856832613511</v>
      </c>
      <c r="K3348" s="6">
        <v>0.75656017663095609</v>
      </c>
      <c r="L3348" s="6">
        <v>0.7742743657266411</v>
      </c>
      <c r="M3348" s="6">
        <v>0.79091189586642074</v>
      </c>
      <c r="N3348" s="6">
        <v>0.80664806312520398</v>
      </c>
      <c r="O3348" s="6">
        <v>0.82161520187995307</v>
      </c>
      <c r="P3348">
        <v>0.83591612277788474</v>
      </c>
      <c r="Q3348">
        <v>0.84963258572960687</v>
      </c>
      <c r="R3348">
        <v>0.8628308813563349</v>
      </c>
      <c r="S3348">
        <v>0.87556564263475789</v>
      </c>
      <c r="T3348">
        <v>0.88788252782189425</v>
      </c>
      <c r="U3348">
        <v>0.89982015813531269</v>
      </c>
      <c r="V3348">
        <v>0.91141154858996165</v>
      </c>
      <c r="W3348">
        <v>0.92268518518518516</v>
      </c>
      <c r="X3348">
        <v>0.93366584974710443</v>
      </c>
      <c r="Y3348">
        <v>0.94437526112366121</v>
      </c>
      <c r="Z3348">
        <v>0.95483258036399066</v>
      </c>
      <c r="AA3348">
        <v>0.9650548135676158</v>
      </c>
      <c r="AB3348">
        <v>0.97505713665227023</v>
      </c>
    </row>
    <row r="3349" spans="1:28">
      <c r="D3349">
        <v>1.9500000000000011</v>
      </c>
      <c r="E3349">
        <v>0.59713469186434887</v>
      </c>
      <c r="F3349" s="6">
        <v>0.63736919861149366</v>
      </c>
      <c r="G3349" s="6">
        <v>0.66824222148659951</v>
      </c>
      <c r="H3349" s="6">
        <v>0.69426938372869784</v>
      </c>
      <c r="I3349" s="6">
        <v>0.71719977398217993</v>
      </c>
      <c r="J3349" s="6">
        <v>0.73793043139012715</v>
      </c>
      <c r="K3349" s="6">
        <v>0.75699423834995616</v>
      </c>
      <c r="L3349" s="6">
        <v>0.77473839722298743</v>
      </c>
      <c r="M3349" s="6">
        <v>0.79140407559304671</v>
      </c>
      <c r="N3349" s="6">
        <v>0.80716686610996979</v>
      </c>
      <c r="O3349" s="6">
        <v>0.8221593270408325</v>
      </c>
      <c r="P3349">
        <v>0.83648444297319913</v>
      </c>
      <c r="Q3349">
        <v>0.85022411214330473</v>
      </c>
      <c r="R3349">
        <v>0.86344473732625171</v>
      </c>
      <c r="S3349">
        <v>0.8762010439296124</v>
      </c>
      <c r="T3349">
        <v>0.88853876745739557</v>
      </c>
      <c r="U3349">
        <v>0.90049659446853492</v>
      </c>
      <c r="V3349">
        <v>0.91210759583448131</v>
      </c>
      <c r="W3349">
        <v>0.92340030574865928</v>
      </c>
      <c r="X3349">
        <v>0.93439954796435976</v>
      </c>
      <c r="Y3349">
        <v>0.94512707807458995</v>
      </c>
      <c r="Z3349">
        <v>0.95560208954613479</v>
      </c>
      <c r="AA3349">
        <v>0.96584161725031192</v>
      </c>
      <c r="AB3349">
        <v>0.9758608627802543</v>
      </c>
    </row>
    <row r="3350" spans="1:28">
      <c r="D3350">
        <v>2.0000000000000009</v>
      </c>
      <c r="E3350">
        <v>0.59731036568749085</v>
      </c>
      <c r="F3350" s="6">
        <v>0.637617638914735</v>
      </c>
      <c r="G3350" s="6">
        <v>0.66854649747384132</v>
      </c>
      <c r="H3350" s="6">
        <v>0.6946207313749817</v>
      </c>
      <c r="I3350" s="6">
        <v>0.71759259259259256</v>
      </c>
      <c r="J3350" s="6">
        <v>0.73836074261798901</v>
      </c>
      <c r="K3350" s="6">
        <v>0.75745902759785366</v>
      </c>
      <c r="L3350" s="6">
        <v>0.7752352778294701</v>
      </c>
      <c r="M3350" s="6">
        <v>0.79193109706247256</v>
      </c>
      <c r="N3350" s="6">
        <v>0.80772239551636793</v>
      </c>
      <c r="O3350" s="6">
        <v>0.82274197119768167</v>
      </c>
      <c r="P3350">
        <v>0.83709299494768252</v>
      </c>
      <c r="Q3350">
        <v>0.85085751312039981</v>
      </c>
      <c r="R3350">
        <v>0.86410204858427364</v>
      </c>
      <c r="S3350">
        <v>0.87688142572100569</v>
      </c>
      <c r="T3350">
        <v>0.88924146274996341</v>
      </c>
      <c r="U3350">
        <v>0.90122091619700528</v>
      </c>
      <c r="V3350">
        <v>0.9128529167442051</v>
      </c>
      <c r="W3350">
        <v>0.92416605019076048</v>
      </c>
      <c r="X3350">
        <v>0.93518518518518512</v>
      </c>
      <c r="Y3350">
        <v>0.94593211666676036</v>
      </c>
      <c r="Z3350">
        <v>0.9564260728147882</v>
      </c>
      <c r="AA3350">
        <v>0.9666841193091571</v>
      </c>
      <c r="AB3350">
        <v>0.97672148523597802</v>
      </c>
    </row>
    <row r="3354" spans="1:28">
      <c r="A3354" s="48" t="s">
        <v>383</v>
      </c>
      <c r="B3354" s="1" t="s">
        <v>809</v>
      </c>
      <c r="D3354" t="s">
        <v>449</v>
      </c>
      <c r="E3354" s="6">
        <v>52695</v>
      </c>
      <c r="F3354" s="24">
        <v>39622</v>
      </c>
      <c r="G3354" s="24">
        <v>0</v>
      </c>
      <c r="H3354" s="6">
        <v>0</v>
      </c>
      <c r="I3354" s="6">
        <v>0</v>
      </c>
      <c r="J3354" s="6">
        <v>1536</v>
      </c>
      <c r="K3354" s="6">
        <v>1024</v>
      </c>
      <c r="L3354" s="6">
        <v>192</v>
      </c>
      <c r="M3354" s="6">
        <v>0</v>
      </c>
      <c r="N3354" s="6">
        <v>0</v>
      </c>
      <c r="O3354" s="24" t="e">
        <f ca="1">checksummeint(G3354,H3354,I3354,J3354,K3354,L3354,M3354,N3354)</f>
        <v>#NAME?</v>
      </c>
      <c r="T3354" s="2"/>
    </row>
    <row r="3355" spans="1:28">
      <c r="A3355" s="1"/>
      <c r="C3355" s="2">
        <v>0</v>
      </c>
      <c r="D3355">
        <v>28</v>
      </c>
      <c r="E3355" t="s">
        <v>12</v>
      </c>
      <c r="F3355" s="24">
        <v>600</v>
      </c>
      <c r="G3355" s="24">
        <v>0</v>
      </c>
      <c r="H3355" s="6">
        <v>0</v>
      </c>
      <c r="I3355" s="6">
        <v>0</v>
      </c>
      <c r="J3355" s="6">
        <v>700</v>
      </c>
      <c r="K3355" s="6">
        <v>0</v>
      </c>
      <c r="L3355" s="6">
        <v>0</v>
      </c>
      <c r="M3355" s="6">
        <v>0</v>
      </c>
      <c r="N3355" s="6">
        <v>0</v>
      </c>
      <c r="O3355" s="6" t="s">
        <v>19</v>
      </c>
      <c r="T3355" s="2"/>
    </row>
    <row r="3356" spans="1:28">
      <c r="A3356" s="1"/>
      <c r="C3356">
        <f>C3355+1</f>
        <v>1</v>
      </c>
      <c r="D3356" s="2">
        <v>7</v>
      </c>
      <c r="E3356" s="2" t="s">
        <v>11</v>
      </c>
      <c r="F3356" s="24">
        <v>1</v>
      </c>
      <c r="G3356" s="24">
        <v>0</v>
      </c>
      <c r="H3356" s="24">
        <v>0</v>
      </c>
      <c r="I3356" s="24">
        <v>0</v>
      </c>
      <c r="J3356" s="24"/>
      <c r="T3356" s="2"/>
    </row>
    <row r="3357" spans="1:28">
      <c r="C3357">
        <f t="shared" ref="C3357:C3365" si="171">C3356+1</f>
        <v>2</v>
      </c>
      <c r="D3357" s="2">
        <v>8</v>
      </c>
      <c r="E3357" s="2" t="s">
        <v>14</v>
      </c>
      <c r="F3357" s="24">
        <v>0</v>
      </c>
      <c r="G3357" s="24">
        <v>25</v>
      </c>
      <c r="H3357" s="24">
        <v>0</v>
      </c>
      <c r="I3357" s="24">
        <v>-1</v>
      </c>
      <c r="J3357" s="24">
        <v>255</v>
      </c>
      <c r="K3357" s="24"/>
      <c r="L3357" s="24"/>
      <c r="T3357" s="2"/>
    </row>
    <row r="3358" spans="1:28">
      <c r="C3358">
        <f t="shared" si="171"/>
        <v>3</v>
      </c>
      <c r="D3358" s="2">
        <v>8</v>
      </c>
      <c r="E3358" s="2" t="s">
        <v>14</v>
      </c>
      <c r="F3358" s="24">
        <v>0</v>
      </c>
      <c r="G3358" s="24">
        <v>60</v>
      </c>
      <c r="H3358" s="24">
        <v>0</v>
      </c>
      <c r="I3358" s="24">
        <f>256*224</f>
        <v>57344</v>
      </c>
      <c r="J3358" s="24">
        <v>0</v>
      </c>
      <c r="K3358" s="24"/>
      <c r="L3358" s="24"/>
      <c r="M3358" s="44"/>
      <c r="N3358" s="45"/>
      <c r="T3358" s="2"/>
    </row>
    <row r="3359" spans="1:28">
      <c r="C3359">
        <f t="shared" si="171"/>
        <v>4</v>
      </c>
      <c r="D3359" s="2">
        <v>8</v>
      </c>
      <c r="E3359" s="2" t="s">
        <v>14</v>
      </c>
      <c r="F3359" s="24">
        <v>0</v>
      </c>
      <c r="G3359" s="24">
        <v>30</v>
      </c>
      <c r="H3359" s="24">
        <v>0</v>
      </c>
      <c r="I3359" s="24">
        <f>I3358</f>
        <v>57344</v>
      </c>
      <c r="J3359" s="24">
        <v>0</v>
      </c>
      <c r="K3359" s="24"/>
      <c r="L3359" s="24"/>
      <c r="M3359" s="44"/>
      <c r="N3359" s="45"/>
      <c r="T3359" s="2"/>
    </row>
    <row r="3360" spans="1:28">
      <c r="C3360">
        <f t="shared" si="171"/>
        <v>5</v>
      </c>
      <c r="D3360" s="2">
        <v>8</v>
      </c>
      <c r="E3360" s="2" t="s">
        <v>14</v>
      </c>
      <c r="F3360" s="24">
        <v>0</v>
      </c>
      <c r="G3360" s="24">
        <v>25</v>
      </c>
      <c r="H3360" s="24">
        <v>0</v>
      </c>
      <c r="I3360" s="24">
        <f>224+255*256</f>
        <v>65504</v>
      </c>
      <c r="J3360" s="24">
        <v>224</v>
      </c>
      <c r="K3360" s="24"/>
      <c r="L3360" s="24"/>
      <c r="M3360" s="24"/>
      <c r="N3360" s="24"/>
      <c r="O3360" s="24"/>
      <c r="T3360" s="2"/>
    </row>
    <row r="3361" spans="1:20">
      <c r="C3361">
        <f t="shared" si="171"/>
        <v>6</v>
      </c>
      <c r="D3361" s="2">
        <v>8</v>
      </c>
      <c r="E3361" s="2" t="s">
        <v>14</v>
      </c>
      <c r="F3361" s="24">
        <v>0</v>
      </c>
      <c r="G3361" s="24">
        <v>60</v>
      </c>
      <c r="H3361" s="24">
        <v>0</v>
      </c>
      <c r="I3361" s="24">
        <v>224</v>
      </c>
      <c r="J3361" s="24">
        <v>0</v>
      </c>
      <c r="K3361" s="24"/>
      <c r="L3361" s="24"/>
      <c r="M3361" s="24"/>
      <c r="N3361" s="24"/>
      <c r="O3361" s="24"/>
      <c r="T3361" s="2"/>
    </row>
    <row r="3362" spans="1:20">
      <c r="C3362">
        <f t="shared" si="171"/>
        <v>7</v>
      </c>
      <c r="D3362" s="2">
        <v>8</v>
      </c>
      <c r="E3362" s="2" t="s">
        <v>14</v>
      </c>
      <c r="F3362" s="24">
        <v>0</v>
      </c>
      <c r="G3362" s="24">
        <v>30</v>
      </c>
      <c r="H3362" s="24">
        <v>0</v>
      </c>
      <c r="I3362" s="24">
        <f>I3361</f>
        <v>224</v>
      </c>
      <c r="J3362" s="24">
        <v>0</v>
      </c>
      <c r="K3362" s="24"/>
      <c r="L3362" s="24"/>
      <c r="M3362" s="24"/>
      <c r="N3362" s="24"/>
      <c r="O3362" s="24"/>
      <c r="T3362" s="2"/>
    </row>
    <row r="3363" spans="1:20">
      <c r="C3363">
        <f t="shared" si="171"/>
        <v>8</v>
      </c>
      <c r="D3363" s="2">
        <v>8</v>
      </c>
      <c r="E3363" s="2" t="s">
        <v>14</v>
      </c>
      <c r="F3363" s="24">
        <v>0</v>
      </c>
      <c r="G3363" s="24">
        <v>25</v>
      </c>
      <c r="H3363" s="24">
        <v>0</v>
      </c>
      <c r="I3363" s="24">
        <f>255+224*256</f>
        <v>57599</v>
      </c>
      <c r="J3363" s="24">
        <v>224</v>
      </c>
      <c r="K3363" s="24"/>
      <c r="L3363" s="24"/>
      <c r="M3363" s="24"/>
      <c r="N3363" s="24"/>
      <c r="O3363" s="24"/>
      <c r="T3363" s="2"/>
    </row>
    <row r="3364" spans="1:20">
      <c r="C3364">
        <f t="shared" si="171"/>
        <v>9</v>
      </c>
      <c r="D3364" s="2">
        <v>8</v>
      </c>
      <c r="E3364" s="2" t="s">
        <v>14</v>
      </c>
      <c r="F3364" s="24">
        <v>5</v>
      </c>
      <c r="G3364" s="24">
        <v>1</v>
      </c>
      <c r="H3364" s="24">
        <v>0</v>
      </c>
      <c r="I3364" s="24">
        <v>0</v>
      </c>
      <c r="J3364" s="24">
        <v>0</v>
      </c>
      <c r="K3364" s="24"/>
      <c r="L3364" s="24"/>
      <c r="M3364" s="24"/>
      <c r="N3364" s="24"/>
      <c r="O3364" s="24"/>
      <c r="T3364" s="2"/>
    </row>
    <row r="3365" spans="1:20">
      <c r="C3365">
        <f t="shared" si="171"/>
        <v>10</v>
      </c>
      <c r="D3365" s="2">
        <v>7</v>
      </c>
      <c r="E3365" s="2" t="s">
        <v>11</v>
      </c>
      <c r="F3365" s="24">
        <v>0</v>
      </c>
      <c r="G3365" s="24">
        <f>192*256+255</f>
        <v>49407</v>
      </c>
      <c r="H3365" s="24">
        <v>192</v>
      </c>
      <c r="I3365" s="24">
        <v>0</v>
      </c>
      <c r="J3365" s="24"/>
      <c r="K3365" s="24"/>
      <c r="L3365" s="24"/>
      <c r="M3365" s="24"/>
      <c r="N3365" s="24"/>
      <c r="O3365" s="24"/>
      <c r="T3365" s="2"/>
    </row>
    <row r="3366" spans="1:20">
      <c r="C3366">
        <f>C3365+1</f>
        <v>11</v>
      </c>
      <c r="D3366" s="2">
        <v>7</v>
      </c>
      <c r="E3366" s="2" t="s">
        <v>11</v>
      </c>
      <c r="F3366" s="24">
        <v>0</v>
      </c>
      <c r="G3366" s="24">
        <f>255*256+192</f>
        <v>65472</v>
      </c>
      <c r="H3366" s="24">
        <v>192</v>
      </c>
      <c r="I3366" s="24">
        <v>0</v>
      </c>
      <c r="J3366" s="24"/>
      <c r="K3366" s="24"/>
      <c r="L3366" s="24"/>
      <c r="M3366" s="24"/>
      <c r="N3366" s="24"/>
      <c r="O3366" s="24"/>
      <c r="T3366" s="2"/>
    </row>
    <row r="3367" spans="1:20">
      <c r="C3367">
        <f>C3366+1</f>
        <v>12</v>
      </c>
      <c r="D3367" s="2">
        <v>7</v>
      </c>
      <c r="E3367" s="2" t="s">
        <v>11</v>
      </c>
      <c r="F3367" s="24">
        <v>0</v>
      </c>
      <c r="G3367" s="24">
        <f>255*257</f>
        <v>65535</v>
      </c>
      <c r="H3367" s="24">
        <v>128</v>
      </c>
      <c r="I3367" s="24">
        <v>0</v>
      </c>
      <c r="J3367" s="24"/>
      <c r="K3367" s="24"/>
      <c r="L3367" s="24"/>
      <c r="M3367" s="24"/>
      <c r="N3367" s="24"/>
      <c r="O3367" s="24"/>
      <c r="T3367" s="2"/>
    </row>
    <row r="3368" spans="1:20">
      <c r="C3368">
        <f>C3367+1</f>
        <v>13</v>
      </c>
      <c r="D3368" s="2">
        <v>7</v>
      </c>
      <c r="E3368" s="2" t="s">
        <v>11</v>
      </c>
      <c r="F3368" s="24">
        <v>0</v>
      </c>
      <c r="G3368" s="24">
        <f>240+255*256</f>
        <v>65520</v>
      </c>
      <c r="H3368" s="24">
        <v>240</v>
      </c>
      <c r="I3368" s="24">
        <v>0</v>
      </c>
      <c r="J3368" s="24"/>
      <c r="K3368" s="24"/>
      <c r="L3368" s="24"/>
      <c r="M3368" s="24"/>
      <c r="N3368" s="24"/>
      <c r="O3368" s="24"/>
      <c r="T3368" s="2"/>
    </row>
    <row r="3369" spans="1:20">
      <c r="C3369">
        <f>C3368+1</f>
        <v>14</v>
      </c>
      <c r="D3369" s="2">
        <v>7</v>
      </c>
      <c r="E3369" s="2" t="s">
        <v>11</v>
      </c>
      <c r="F3369" s="24">
        <v>0</v>
      </c>
      <c r="G3369" s="24">
        <f>255+240*256</f>
        <v>61695</v>
      </c>
      <c r="H3369" s="24">
        <v>240</v>
      </c>
      <c r="I3369" s="24">
        <v>0</v>
      </c>
      <c r="J3369" s="24"/>
      <c r="K3369" s="24"/>
      <c r="L3369" s="24"/>
      <c r="M3369" s="24"/>
      <c r="N3369" s="24"/>
      <c r="O3369" s="24"/>
      <c r="T3369" s="2"/>
    </row>
    <row r="3370" spans="1:20">
      <c r="D3370">
        <v>5</v>
      </c>
      <c r="E3370" t="s">
        <v>59</v>
      </c>
      <c r="F3370" s="6">
        <v>1</v>
      </c>
      <c r="G3370" s="24">
        <v>0</v>
      </c>
      <c r="H3370" s="24"/>
      <c r="I3370" s="24"/>
      <c r="T3370" s="2"/>
    </row>
    <row r="3371" spans="1:20">
      <c r="D3371" s="2">
        <v>4</v>
      </c>
      <c r="E3371" s="2" t="s">
        <v>15</v>
      </c>
      <c r="F3371" s="24">
        <v>0</v>
      </c>
      <c r="G3371" s="24"/>
      <c r="O3371" s="24"/>
      <c r="P3371" s="2"/>
      <c r="Q3371" s="2"/>
      <c r="R3371" s="2"/>
      <c r="T3371" s="2"/>
    </row>
    <row r="3372" spans="1:20">
      <c r="A3372" s="1"/>
      <c r="B3372" s="1"/>
      <c r="D3372" s="2">
        <v>4</v>
      </c>
      <c r="E3372" s="2" t="s">
        <v>15</v>
      </c>
      <c r="F3372" s="24">
        <v>2</v>
      </c>
      <c r="G3372" s="24"/>
      <c r="H3372" s="24"/>
      <c r="T3372" s="2"/>
    </row>
    <row r="3373" spans="1:20">
      <c r="D3373" s="2">
        <f t="shared" ref="D3373:D3379" si="172">F3373*2+4</f>
        <v>14</v>
      </c>
      <c r="E3373" s="2" t="s">
        <v>1</v>
      </c>
      <c r="F3373" s="24">
        <v>5</v>
      </c>
      <c r="G3373" s="24">
        <f>K3373-160</f>
        <v>390</v>
      </c>
      <c r="H3373" s="24">
        <f>L3373</f>
        <v>650</v>
      </c>
      <c r="I3373" s="24">
        <f>G3373+80</f>
        <v>470</v>
      </c>
      <c r="J3373" s="6">
        <f>L3373-100</f>
        <v>550</v>
      </c>
      <c r="K3373" s="6">
        <f>G3402/2+I3402/2</f>
        <v>550</v>
      </c>
      <c r="L3373" s="6">
        <v>650</v>
      </c>
      <c r="M3373" s="24">
        <f>K3373+80</f>
        <v>630</v>
      </c>
      <c r="N3373" s="6">
        <f>J3373</f>
        <v>550</v>
      </c>
      <c r="O3373" s="24">
        <f>M3373+80</f>
        <v>710</v>
      </c>
      <c r="P3373">
        <f>L3373</f>
        <v>650</v>
      </c>
    </row>
    <row r="3374" spans="1:20">
      <c r="D3374" s="2">
        <f t="shared" si="172"/>
        <v>8</v>
      </c>
      <c r="E3374" s="2" t="s">
        <v>1</v>
      </c>
      <c r="F3374" s="24">
        <v>2</v>
      </c>
      <c r="G3374" s="24">
        <f>G3373</f>
        <v>390</v>
      </c>
      <c r="H3374" s="24">
        <f>H3373-200</f>
        <v>450</v>
      </c>
      <c r="I3374" s="24">
        <f>I3373</f>
        <v>470</v>
      </c>
      <c r="J3374" s="24">
        <f>H3374-100</f>
        <v>350</v>
      </c>
    </row>
    <row r="3375" spans="1:20">
      <c r="D3375" s="2">
        <f t="shared" si="172"/>
        <v>8</v>
      </c>
      <c r="E3375" s="2" t="s">
        <v>1</v>
      </c>
      <c r="F3375" s="24">
        <v>2</v>
      </c>
      <c r="G3375" s="24">
        <f>O3373</f>
        <v>710</v>
      </c>
      <c r="H3375" s="24">
        <f>H3374</f>
        <v>450</v>
      </c>
      <c r="I3375" s="24">
        <f>M3373</f>
        <v>630</v>
      </c>
      <c r="J3375" s="24">
        <f>J3374</f>
        <v>350</v>
      </c>
      <c r="K3375" s="24"/>
      <c r="L3375" s="36"/>
      <c r="M3375" s="24"/>
      <c r="N3375" s="24"/>
      <c r="O3375" s="24"/>
      <c r="P3375" s="2"/>
      <c r="Q3375" s="2"/>
      <c r="R3375" s="2"/>
      <c r="S3375" s="2"/>
      <c r="T3375" s="2"/>
    </row>
    <row r="3376" spans="1:20">
      <c r="B3376" s="2"/>
      <c r="C3376" s="2"/>
      <c r="D3376" s="2">
        <f t="shared" si="172"/>
        <v>8</v>
      </c>
      <c r="E3376" s="2" t="s">
        <v>1</v>
      </c>
      <c r="F3376" s="24">
        <v>2</v>
      </c>
      <c r="G3376" s="24">
        <f>K3404</f>
        <v>1050</v>
      </c>
      <c r="H3376" s="24">
        <f>L3404-180</f>
        <v>320</v>
      </c>
      <c r="I3376" s="24">
        <f>G3376</f>
        <v>1050</v>
      </c>
      <c r="J3376" s="6">
        <f>L3404+180</f>
        <v>680</v>
      </c>
      <c r="K3376" s="24"/>
      <c r="L3376" s="24"/>
      <c r="Q3376" s="2"/>
      <c r="R3376" s="2"/>
      <c r="S3376" s="2"/>
      <c r="T3376" s="2"/>
    </row>
    <row r="3377" spans="1:20">
      <c r="D3377" s="2">
        <f t="shared" si="172"/>
        <v>8</v>
      </c>
      <c r="E3377" s="2" t="s">
        <v>1</v>
      </c>
      <c r="F3377" s="24">
        <v>2</v>
      </c>
      <c r="G3377" s="24">
        <f>K3404-180</f>
        <v>870</v>
      </c>
      <c r="H3377" s="24">
        <f>L3404</f>
        <v>500</v>
      </c>
      <c r="I3377" s="24">
        <f>K3404+180</f>
        <v>1230</v>
      </c>
      <c r="J3377" s="24">
        <f>L3404</f>
        <v>500</v>
      </c>
      <c r="K3377" s="24"/>
      <c r="L3377" s="36"/>
      <c r="M3377" s="24"/>
      <c r="N3377" s="24"/>
      <c r="O3377" s="24"/>
      <c r="P3377" s="2"/>
      <c r="Q3377" s="2"/>
      <c r="R3377" s="2"/>
      <c r="S3377" s="2"/>
      <c r="T3377" s="2"/>
    </row>
    <row r="3378" spans="1:20">
      <c r="D3378" s="2">
        <f t="shared" si="172"/>
        <v>8</v>
      </c>
      <c r="E3378" s="2" t="s">
        <v>1</v>
      </c>
      <c r="F3378" s="24">
        <v>2</v>
      </c>
      <c r="G3378" s="24">
        <f>K3404+128</f>
        <v>1178</v>
      </c>
      <c r="H3378" s="24">
        <f>L3404+128</f>
        <v>628</v>
      </c>
      <c r="I3378" s="24">
        <f>K3404-128</f>
        <v>922</v>
      </c>
      <c r="J3378" s="6">
        <f>L3404-128</f>
        <v>372</v>
      </c>
      <c r="K3378" s="24"/>
      <c r="L3378" s="24"/>
      <c r="Q3378" s="2"/>
      <c r="R3378" s="2"/>
      <c r="S3378" s="2"/>
      <c r="T3378" s="2"/>
    </row>
    <row r="3379" spans="1:20">
      <c r="D3379" s="2">
        <f t="shared" si="172"/>
        <v>8</v>
      </c>
      <c r="E3379" s="2" t="s">
        <v>1</v>
      </c>
      <c r="F3379" s="24">
        <v>2</v>
      </c>
      <c r="G3379" s="24">
        <f>G3378</f>
        <v>1178</v>
      </c>
      <c r="H3379" s="24">
        <f>J3378</f>
        <v>372</v>
      </c>
      <c r="I3379" s="24">
        <f>I3378</f>
        <v>922</v>
      </c>
      <c r="J3379" s="24">
        <f>H3378</f>
        <v>628</v>
      </c>
      <c r="K3379" s="24"/>
      <c r="L3379" s="36"/>
      <c r="M3379" s="24"/>
      <c r="N3379" s="24"/>
      <c r="O3379" s="24"/>
      <c r="P3379" s="2"/>
      <c r="Q3379" s="2"/>
      <c r="R3379" s="2"/>
      <c r="S3379" s="2"/>
      <c r="T3379" s="2"/>
    </row>
    <row r="3380" spans="1:20">
      <c r="A3380" s="2"/>
      <c r="B3380" s="2"/>
      <c r="C3380" s="2"/>
      <c r="D3380" s="2">
        <v>4</v>
      </c>
      <c r="E3380" s="2" t="s">
        <v>15</v>
      </c>
      <c r="F3380" s="24">
        <v>9</v>
      </c>
      <c r="G3380" s="24"/>
      <c r="H3380" s="24"/>
      <c r="I3380" s="24"/>
      <c r="J3380" s="24"/>
      <c r="K3380" s="24"/>
      <c r="L3380" s="24"/>
      <c r="M3380" s="24"/>
      <c r="N3380" s="24"/>
      <c r="O3380" s="24"/>
      <c r="P3380" s="2"/>
      <c r="Q3380" s="2"/>
      <c r="R3380" s="2"/>
      <c r="S3380" s="2"/>
      <c r="T3380" s="2"/>
    </row>
    <row r="3381" spans="1:20">
      <c r="A3381" s="2"/>
      <c r="B3381" s="2"/>
      <c r="C3381" s="2"/>
      <c r="D3381" s="2">
        <v>4</v>
      </c>
      <c r="E3381" s="2" t="s">
        <v>15</v>
      </c>
      <c r="F3381" s="24">
        <v>13</v>
      </c>
      <c r="G3381" s="24"/>
      <c r="H3381" s="24"/>
      <c r="I3381" s="24"/>
      <c r="J3381" s="24"/>
      <c r="K3381" s="24"/>
      <c r="L3381" s="24"/>
      <c r="M3381" s="24"/>
      <c r="N3381" s="24"/>
      <c r="O3381" s="24"/>
      <c r="P3381" s="2"/>
      <c r="Q3381" s="2"/>
      <c r="R3381" s="2"/>
      <c r="S3381" s="2"/>
      <c r="T3381" s="2"/>
    </row>
    <row r="3382" spans="1:20">
      <c r="A3382" s="2"/>
      <c r="B3382" s="2"/>
      <c r="C3382" s="2"/>
      <c r="D3382" s="2">
        <f>F3382*2+4</f>
        <v>12</v>
      </c>
      <c r="E3382" s="3" t="s">
        <v>4</v>
      </c>
      <c r="F3382" s="24">
        <v>4</v>
      </c>
      <c r="G3382" s="24">
        <f>J3354</f>
        <v>1536</v>
      </c>
      <c r="H3382" s="24">
        <v>0</v>
      </c>
      <c r="I3382" s="24">
        <f>G3382*0.5</f>
        <v>768</v>
      </c>
      <c r="J3382" s="24">
        <f>H3382</f>
        <v>0</v>
      </c>
      <c r="K3382" s="24">
        <f>M3382*0.75</f>
        <v>1152</v>
      </c>
      <c r="L3382" s="24">
        <f>N3382</f>
        <v>1024</v>
      </c>
      <c r="M3382" s="24">
        <f>G3382</f>
        <v>1536</v>
      </c>
      <c r="N3382" s="24">
        <f>K3354</f>
        <v>1024</v>
      </c>
      <c r="O3382" s="24"/>
      <c r="P3382" s="2"/>
      <c r="Q3382" s="2"/>
      <c r="R3382" s="2"/>
      <c r="S3382" s="2"/>
      <c r="T3382" s="2"/>
    </row>
    <row r="3383" spans="1:20">
      <c r="A3383" s="2"/>
      <c r="B3383" s="2"/>
      <c r="C3383" s="2"/>
      <c r="D3383" s="2">
        <v>4</v>
      </c>
      <c r="E3383" s="2" t="s">
        <v>15</v>
      </c>
      <c r="F3383" s="24">
        <v>14</v>
      </c>
      <c r="G3383" s="24"/>
      <c r="H3383" s="24"/>
      <c r="I3383" s="24"/>
      <c r="J3383" s="24"/>
      <c r="K3383" s="24"/>
      <c r="L3383" s="24"/>
      <c r="M3383" s="24"/>
      <c r="N3383" s="24"/>
      <c r="O3383" s="24"/>
      <c r="P3383" s="2"/>
      <c r="Q3383" s="2"/>
      <c r="R3383" s="2"/>
      <c r="S3383" s="2"/>
      <c r="T3383" s="2"/>
    </row>
    <row r="3384" spans="1:20">
      <c r="A3384" s="2"/>
      <c r="B3384" s="2"/>
      <c r="C3384" s="2"/>
      <c r="D3384" s="2">
        <f>F3384*2+4</f>
        <v>12</v>
      </c>
      <c r="E3384" s="3" t="s">
        <v>4</v>
      </c>
      <c r="F3384" s="24">
        <v>4</v>
      </c>
      <c r="G3384" s="24">
        <v>0</v>
      </c>
      <c r="H3384" s="24">
        <f>K3354</f>
        <v>1024</v>
      </c>
      <c r="I3384" s="24">
        <f>0.5*J3354</f>
        <v>768</v>
      </c>
      <c r="J3384" s="24">
        <f>H3384</f>
        <v>1024</v>
      </c>
      <c r="K3384" s="24">
        <f>I3384/2</f>
        <v>384</v>
      </c>
      <c r="L3384" s="24">
        <v>0</v>
      </c>
      <c r="M3384" s="24">
        <v>0</v>
      </c>
      <c r="N3384" s="24">
        <v>0</v>
      </c>
      <c r="O3384" s="24"/>
      <c r="P3384" s="2"/>
      <c r="Q3384" s="2"/>
      <c r="R3384" s="2"/>
      <c r="S3384" s="2"/>
      <c r="T3384" s="2"/>
    </row>
    <row r="3385" spans="1:20">
      <c r="A3385" s="2"/>
      <c r="B3385" s="2"/>
      <c r="C3385" s="2"/>
      <c r="D3385" s="2">
        <v>4</v>
      </c>
      <c r="E3385" s="2" t="s">
        <v>15</v>
      </c>
      <c r="F3385" s="24">
        <v>12</v>
      </c>
      <c r="G3385" s="24"/>
      <c r="H3385" s="24"/>
      <c r="I3385" s="24"/>
      <c r="J3385" s="24"/>
      <c r="K3385" s="24"/>
      <c r="L3385" s="24"/>
      <c r="M3385" s="24"/>
      <c r="N3385" s="24"/>
      <c r="O3385" s="24"/>
      <c r="P3385" s="2"/>
      <c r="Q3385" s="2"/>
      <c r="R3385" s="2"/>
      <c r="S3385" s="2"/>
      <c r="T3385" s="2"/>
    </row>
    <row r="3386" spans="1:20">
      <c r="A3386" s="2"/>
      <c r="B3386" s="2">
        <v>3</v>
      </c>
      <c r="C3386" s="2">
        <f>B3386*PI()/6</f>
        <v>1.5707963267948966</v>
      </c>
      <c r="D3386" s="2">
        <f>F3386*2+4</f>
        <v>18</v>
      </c>
      <c r="E3386" s="3" t="s">
        <v>4</v>
      </c>
      <c r="F3386" s="24">
        <v>7</v>
      </c>
      <c r="G3386" s="24">
        <f>-COS(C3386+ATAN(-H3388/G3388))*SQRT(G3388^2+H3388^2)*C3388+A3388</f>
        <v>800</v>
      </c>
      <c r="H3386" s="24">
        <f>SIN(C3386+ATAN(-H3388/G3388))*SQRT(G3388^2+H3388^2)*C3388+B3388</f>
        <v>507.5</v>
      </c>
      <c r="I3386" s="24">
        <f>-COS(C3386+ATAN(-J3388/I3388))*SQRT(I3388^2+J3388^2)*C3388+A3388</f>
        <v>959</v>
      </c>
      <c r="J3386" s="24">
        <f>SIN(C3386+ATAN(-J3388/I3388))*SQRT(I3388^2+J3388^2)*C3388+B3388</f>
        <v>790.25</v>
      </c>
      <c r="K3386" s="24">
        <f>-COS(C3386+ATAN(-L3388/K3388))*SQRT(K3388^2+L3388^2)*C3388+A3388</f>
        <v>850.25</v>
      </c>
      <c r="L3386" s="24">
        <f>SIN(C3386+ATAN(-L3388/K3388))*SQRT(K3388^2+L3388^2)*C3388+B3388</f>
        <v>782.75</v>
      </c>
      <c r="M3386" s="24">
        <f>-COS(C3386+ATAN(-N3388/M3388))*SQRT(M3388^2+N3388^2)+A3388</f>
        <v>1161.9999999999998</v>
      </c>
      <c r="N3386" s="24">
        <f>SIN(C3386+ATAN(-N3388/M3388))*SQRT(M3388^2+N3388^2)+B3388</f>
        <v>1432</v>
      </c>
      <c r="O3386" s="24">
        <f>-COS(C3386+ATAN(-P3388/O3388))*SQRT(O3388^2+P3388^2)+A3388</f>
        <v>1282</v>
      </c>
      <c r="P3386" s="2">
        <f>SIN(C3386+ATAN(-P3388/O3388))*SQRT(O3388^2+P3388^2)+B3388</f>
        <v>1402</v>
      </c>
      <c r="Q3386" s="2">
        <f>-COS(C3386+ATAN(-R3388/Q3388))*SQRT(Q3388^2+R3388^2)*C3388+A3388</f>
        <v>936.5</v>
      </c>
      <c r="R3386" s="2">
        <f>SIN(C3386+ATAN(-R3388/Q3388))*SQRT(Q3388^2+R3388^2)*C3388+B3388</f>
        <v>831.5</v>
      </c>
      <c r="S3386" s="2">
        <f>-COS(C3386+ATAN(-T3388/S3388))*SQRT(S3388^2+T3388^2)*C3388+A3388</f>
        <v>1030.25</v>
      </c>
      <c r="T3386" s="2">
        <f>SIN(C3386+ATAN(-T3388/S3388))*SQRT(S3388^2+T3388^2)*C3388+B3388</f>
        <v>824</v>
      </c>
    </row>
    <row r="3387" spans="1:20">
      <c r="A3387" s="2"/>
      <c r="B3387" s="2">
        <v>9</v>
      </c>
      <c r="C3387" s="2">
        <f t="shared" ref="C3387:C3399" si="173">B3387*PI()/6</f>
        <v>4.7123889803846897</v>
      </c>
      <c r="D3387" s="2">
        <f>F3387*2+4</f>
        <v>18</v>
      </c>
      <c r="E3387" s="3" t="s">
        <v>4</v>
      </c>
      <c r="F3387" s="24">
        <v>7</v>
      </c>
      <c r="G3387" s="24">
        <f>-COS(C3387+ATAN(-H3388/G3388))*SQRT(G3388^2+H3388^2)*C3388+A3388</f>
        <v>800</v>
      </c>
      <c r="H3387" s="24">
        <f>SIN(C3387+ATAN(-H3388/G3388))*SQRT(G3388^2+H3388^2)*C3388+B3388</f>
        <v>492.5</v>
      </c>
      <c r="I3387" s="24">
        <f>-COS(C3387+ATAN(-J3388/I3388))*SQRT(I3388^2+J3388^2)*C3388+A3388</f>
        <v>641</v>
      </c>
      <c r="J3387" s="24">
        <f>SIN(C3387+ATAN(-J3388/I3388))*SQRT(I3388^2+J3388^2)*C3388+B3388</f>
        <v>209.75</v>
      </c>
      <c r="K3387" s="24">
        <f>-COS(C3387+ATAN(-L3388/K3388))*SQRT(K3388^2+L3388^2)*C3388+A3388</f>
        <v>749.75000000000011</v>
      </c>
      <c r="L3387" s="24">
        <f>SIN(C3387+ATAN(-L3388/K3388))*SQRT(K3388^2+L3388^2)*C3388+B3388</f>
        <v>217.24999999999994</v>
      </c>
      <c r="M3387" s="24">
        <f>-COS(C3387+ATAN(-N3388/M3388))*SQRT(M3388^2+N3388^2)+A3388</f>
        <v>437.99999999999983</v>
      </c>
      <c r="N3387" s="24">
        <f>SIN(C3387+ATAN(-N3388/M3388))*SQRT(M3388^2+N3388^2)+B3388</f>
        <v>-432</v>
      </c>
      <c r="O3387" s="24">
        <f>-COS(C3387+ATAN(-P3388/O3388))*SQRT(O3388^2+P3388^2)+A3388</f>
        <v>317.99999999999977</v>
      </c>
      <c r="P3387" s="2">
        <f>SIN(C3387+ATAN(-P3388/O3388))*SQRT(O3388^2+P3388^2)+B3388</f>
        <v>-401.99999999999977</v>
      </c>
      <c r="Q3387" s="2">
        <f>-COS(C3387+ATAN(-R3388/Q3388))*SQRT(Q3388^2+R3388^2)*C3388+A3388</f>
        <v>663.50000000000023</v>
      </c>
      <c r="R3387" s="2">
        <f>SIN(C3387+ATAN(-R3388/Q3388))*SQRT(Q3388^2+R3388^2)*C3388+B3388</f>
        <v>168.49999999999994</v>
      </c>
      <c r="S3387" s="2">
        <f>-COS(C3387+ATAN(-T3388/S3388))*SQRT(S3388^2+T3388^2)*C3388+A3388</f>
        <v>569.75</v>
      </c>
      <c r="T3387" s="2">
        <f>SIN(C3387+ATAN(-T3388/S3388))*SQRT(S3388^2+T3388^2)*C3388+B3388</f>
        <v>175.99999999999994</v>
      </c>
    </row>
    <row r="3388" spans="1:20">
      <c r="A3388" s="7">
        <v>800</v>
      </c>
      <c r="B3388" s="7">
        <v>500</v>
      </c>
      <c r="C3388" s="7">
        <v>0.75</v>
      </c>
      <c r="D3388" s="2">
        <v>4</v>
      </c>
      <c r="E3388" s="2" t="s">
        <v>15</v>
      </c>
      <c r="F3388" s="24">
        <v>11</v>
      </c>
      <c r="G3388" s="33">
        <v>-10</v>
      </c>
      <c r="H3388" s="33">
        <v>0</v>
      </c>
      <c r="I3388" s="33">
        <v>-387</v>
      </c>
      <c r="J3388" s="33">
        <v>212</v>
      </c>
      <c r="K3388" s="33">
        <v>-377</v>
      </c>
      <c r="L3388" s="33">
        <v>67</v>
      </c>
      <c r="M3388" s="33">
        <v>-932</v>
      </c>
      <c r="N3388" s="33">
        <v>362</v>
      </c>
      <c r="O3388" s="33">
        <v>-902</v>
      </c>
      <c r="P3388" s="7">
        <v>482</v>
      </c>
      <c r="Q3388" s="7">
        <v>-442</v>
      </c>
      <c r="R3388" s="7">
        <v>182</v>
      </c>
      <c r="S3388" s="7">
        <v>-432</v>
      </c>
      <c r="T3388" s="7">
        <v>307</v>
      </c>
    </row>
    <row r="3389" spans="1:20">
      <c r="A3389" s="2"/>
      <c r="B3389" s="2">
        <v>4</v>
      </c>
      <c r="C3389" s="2">
        <f t="shared" si="173"/>
        <v>2.0943951023931953</v>
      </c>
      <c r="D3389" s="2">
        <f>F3389*2+4</f>
        <v>18</v>
      </c>
      <c r="E3389" s="3" t="s">
        <v>4</v>
      </c>
      <c r="F3389" s="24">
        <v>7</v>
      </c>
      <c r="G3389" s="24">
        <f>-COS(C3389+ATAN(-H3388/G3388))*SQRT(G3388^2+H3388^2)*C3388+A3388</f>
        <v>803.75</v>
      </c>
      <c r="H3389" s="24">
        <f>SIN(C3389+ATAN(-H3388/G3388))*SQRT(G3388^2+H3388^2)*C3388+B3388</f>
        <v>506.49519052838332</v>
      </c>
      <c r="I3389" s="24">
        <f>-COS(C3389+ATAN(-J3388/I3388))*SQRT(I3388^2+J3388^2)*C3388+A3388</f>
        <v>1082.8230392017258</v>
      </c>
      <c r="J3389" s="24">
        <f>SIN(C3389+ATAN(-J3388/I3388))*SQRT(I3388^2+J3388^2)*C3388+B3388</f>
        <v>671.86387344843331</v>
      </c>
      <c r="K3389" s="24">
        <f>-COS(C3389+ATAN(-L3388/K3388))*SQRT(K3388^2+L3388^2)*C3388+A3388</f>
        <v>984.89277654016792</v>
      </c>
      <c r="L3389" s="24">
        <f>SIN(C3389+ATAN(-L3388/K3388))*SQRT(K3388^2+L3388^2)*C3388+B3388</f>
        <v>719.74368292005011</v>
      </c>
      <c r="M3389" s="24">
        <f>-COS(C3389+ATAN(-N3388/M3388))*SQRT(M3388^2+N3388^2)+A3388</f>
        <v>1579.5011961699665</v>
      </c>
      <c r="N3389" s="24">
        <f>SIN(C3389+ATAN(-N3388/M3388))*SQRT(M3388^2+N3388^2)+B3388</f>
        <v>1126.1356763270971</v>
      </c>
      <c r="O3389" s="24">
        <f>-COS(C3389+ATAN(-P3388/O3388))*SQRT(O3388^2+P3388^2)+A3388</f>
        <v>1668.4242446240992</v>
      </c>
      <c r="P3389" s="2">
        <f>SIN(C3389+ATAN(-P3388/O3388))*SQRT(O3388^2+P3388^2)+B3388</f>
        <v>1040.1549142135639</v>
      </c>
      <c r="Q3389" s="2">
        <f>-COS(C3389+ATAN(-R3388/Q3388))*SQRT(Q3388^2+R3388^2)*C3388+A3388</f>
        <v>1083.9624676165759</v>
      </c>
      <c r="R3389" s="2">
        <f>SIN(C3389+ATAN(-R3388/Q3388))*SQRT(Q3388^2+R3388^2)*C3388+B3388</f>
        <v>718.83742135454145</v>
      </c>
      <c r="S3389" s="2">
        <f>-COS(C3389+ATAN(-T3388/S3388))*SQRT(S3388^2+T3388^2)*C3388+A3388</f>
        <v>1161.4023492213669</v>
      </c>
      <c r="T3389" s="2">
        <f>SIN(C3389+ATAN(-T3388/S3388))*SQRT(S3388^2+T3388^2)*C3388+B3388</f>
        <v>665.46723082615836</v>
      </c>
    </row>
    <row r="3390" spans="1:20">
      <c r="A3390" s="2"/>
      <c r="B3390" s="2">
        <v>5</v>
      </c>
      <c r="C3390" s="2">
        <f t="shared" si="173"/>
        <v>2.6179938779914944</v>
      </c>
      <c r="D3390" s="2">
        <f>F3390*2+4</f>
        <v>18</v>
      </c>
      <c r="E3390" s="3" t="s">
        <v>4</v>
      </c>
      <c r="F3390" s="24">
        <v>7</v>
      </c>
      <c r="G3390" s="24">
        <f>-COS(C3390+ATAN(-H3388/G3388))*SQRT(G3388^2+H3388^2)*C3388+A3388</f>
        <v>806.49519052838332</v>
      </c>
      <c r="H3390" s="24">
        <f>SIN(C3390+ATAN(-H3388/G3388))*SQRT(G3388^2+H3388^2)*C3388+B3388</f>
        <v>503.75</v>
      </c>
      <c r="I3390" s="24">
        <f>-COS(C3390+ATAN(-J3388/I3388))*SQRT(I3388^2+J3388^2)*C3388+A3388</f>
        <v>1130.8638734484334</v>
      </c>
      <c r="J3390" s="24">
        <f>SIN(C3390+ATAN(-J3388/I3388))*SQRT(I3388^2+J3388^2)*C3388+B3388</f>
        <v>507.42696079827419</v>
      </c>
      <c r="K3390" s="24">
        <f>-COS(C3390+ATAN(-L3388/K3388))*SQRT(K3388^2+L3388^2)*C3388+A3388</f>
        <v>1069.9936829200501</v>
      </c>
      <c r="L3390" s="24">
        <f>SIN(C3390+ATAN(-L3388/K3388))*SQRT(K3388^2+L3388^2)*C3388+B3388</f>
        <v>597.85722345983197</v>
      </c>
      <c r="M3390" s="24">
        <f>-COS(C3390+ATAN(-N3388/M3388))*SQRT(M3388^2+N3388^2)+A3388</f>
        <v>1788.1356763270969</v>
      </c>
      <c r="N3390" s="24">
        <f>SIN(C3390+ATAN(-N3388/M3388))*SQRT(M3388^2+N3388^2)+B3388</f>
        <v>652.49880383003324</v>
      </c>
      <c r="O3390" s="24">
        <f>-COS(C3390+ATAN(-P3388/O3388))*SQRT(O3388^2+P3388^2)+A3388</f>
        <v>1822.1549142135636</v>
      </c>
      <c r="P3390" s="2">
        <f>SIN(C3390+ATAN(-P3388/O3388))*SQRT(O3388^2+P3388^2)+B3388</f>
        <v>533.57575537590048</v>
      </c>
      <c r="Q3390" s="2">
        <f>-COS(C3390+ATAN(-R3388/Q3388))*SQRT(Q3388^2+R3388^2)*C3388+A3388</f>
        <v>1155.3374213545414</v>
      </c>
      <c r="R3390" s="2">
        <f>SIN(C3390+ATAN(-R3388/Q3388))*SQRT(Q3388^2+R3388^2)*C3388+B3388</f>
        <v>547.53753238342404</v>
      </c>
      <c r="S3390" s="2">
        <f>-COS(C3390+ATAN(-T3388/S3388))*SQRT(S3388^2+T3388^2)*C3388+A3388</f>
        <v>1195.7172308261581</v>
      </c>
      <c r="T3390" s="2">
        <f>SIN(C3390+ATAN(-T3388/S3388))*SQRT(S3388^2+T3388^2)*C3388+B3388</f>
        <v>462.59765077863307</v>
      </c>
    </row>
    <row r="3391" spans="1:20">
      <c r="A3391" s="2"/>
      <c r="B3391" s="2">
        <v>6</v>
      </c>
      <c r="C3391" s="2">
        <f t="shared" si="173"/>
        <v>3.1415926535897931</v>
      </c>
      <c r="D3391" s="2">
        <f>F3391*2+4</f>
        <v>18</v>
      </c>
      <c r="E3391" s="3" t="s">
        <v>4</v>
      </c>
      <c r="F3391" s="24">
        <v>7</v>
      </c>
      <c r="G3391" s="24">
        <f>-COS(C3391+ATAN(-H3388/G3388))*SQRT(G3388^2+H3388^2)*C3388+A3388</f>
        <v>807.5</v>
      </c>
      <c r="H3391" s="24">
        <f>SIN(C3391+ATAN(-H3388/G3388))*SQRT(G3388^2+H3388^2)*C3388+B3388</f>
        <v>500</v>
      </c>
      <c r="I3391" s="24">
        <f>-COS(C3391+ATAN(-J3388/I3388))*SQRT(I3388^2+J3388^2)*C3388+A3388</f>
        <v>1090.25</v>
      </c>
      <c r="J3391" s="24">
        <f>SIN(C3391+ATAN(-J3388/I3388))*SQRT(I3388^2+J3388^2)*C3388+B3388</f>
        <v>341</v>
      </c>
      <c r="K3391" s="24">
        <f>-COS(C3391+ATAN(-L3388/K3388))*SQRT(K3388^2+L3388^2)*C3388+A3388</f>
        <v>1082.75</v>
      </c>
      <c r="L3391" s="24">
        <f>SIN(C3391+ATAN(-L3388/K3388))*SQRT(K3388^2+L3388^2)*C3388+B3388</f>
        <v>449.75000000000011</v>
      </c>
      <c r="M3391" s="24">
        <f>-COS(C3391+ATAN(-N3388/M3388))*SQRT(M3388^2+N3388^2)+A3388</f>
        <v>1732</v>
      </c>
      <c r="N3391" s="24">
        <f>SIN(C3391+ATAN(-N3388/M3388))*SQRT(M3388^2+N3388^2)+B3388</f>
        <v>138.00000000000023</v>
      </c>
      <c r="O3391" s="24">
        <f>-COS(C3391+ATAN(-P3388/O3388))*SQRT(O3388^2+P3388^2)+A3388</f>
        <v>1702</v>
      </c>
      <c r="P3391" s="2">
        <f>SIN(C3391+ATAN(-P3388/O3388))*SQRT(O3388^2+P3388^2)+B3388</f>
        <v>18.000000000000114</v>
      </c>
      <c r="Q3391" s="2">
        <f>-COS(C3391+ATAN(-R3388/Q3388))*SQRT(Q3388^2+R3388^2)*C3388+A3388</f>
        <v>1131.5</v>
      </c>
      <c r="R3391" s="2">
        <f>SIN(C3391+ATAN(-R3388/Q3388))*SQRT(Q3388^2+R3388^2)*C3388+B3388</f>
        <v>363.5</v>
      </c>
      <c r="S3391" s="2">
        <f>-COS(C3391+ATAN(-T3388/S3388))*SQRT(S3388^2+T3388^2)*C3388+A3388</f>
        <v>1124</v>
      </c>
      <c r="T3391" s="2">
        <f>SIN(C3391+ATAN(-T3388/S3388))*SQRT(S3388^2+T3388^2)*C3388+B3388</f>
        <v>269.74999999999994</v>
      </c>
    </row>
    <row r="3392" spans="1:20">
      <c r="A3392" s="2"/>
      <c r="B3392" s="2">
        <v>7</v>
      </c>
      <c r="C3392" s="2">
        <f t="shared" si="173"/>
        <v>3.6651914291880918</v>
      </c>
      <c r="D3392" s="2">
        <f>F3392*2+4</f>
        <v>18</v>
      </c>
      <c r="E3392" s="3" t="s">
        <v>4</v>
      </c>
      <c r="F3392" s="24">
        <v>7</v>
      </c>
      <c r="G3392" s="24">
        <f>-COS(C3392+ATAN(-H3388/G3388))*SQRT(G3388^2+H3388^2)*C3388+A3388</f>
        <v>806.49519052838332</v>
      </c>
      <c r="H3392" s="24">
        <f>SIN(C3392+ATAN(-H3388/G3388))*SQRT(G3388^2+H3388^2)*C3388+B3388</f>
        <v>496.25</v>
      </c>
      <c r="I3392" s="24">
        <f>-COS(C3392+ATAN(-J3388/I3388))*SQRT(I3388^2+J3388^2)*C3388+A3388</f>
        <v>971.86387344843342</v>
      </c>
      <c r="J3392" s="24">
        <f>SIN(C3392+ATAN(-J3388/I3388))*SQRT(I3388^2+J3388^2)*C3388+B3388</f>
        <v>217.17696079827437</v>
      </c>
      <c r="K3392" s="24">
        <f>-COS(C3392+ATAN(-L3388/K3388))*SQRT(K3388^2+L3388^2)*C3388+A3388</f>
        <v>1019.7436829200501</v>
      </c>
      <c r="L3392" s="24">
        <f>SIN(C3392+ATAN(-L3388/K3388))*SQRT(K3388^2+L3388^2)*C3388+B3388</f>
        <v>315.10722345983208</v>
      </c>
      <c r="M3392" s="24">
        <f>-COS(C3392+ATAN(-N3388/M3388))*SQRT(M3388^2+N3388^2)+A3388</f>
        <v>1426.1356763270971</v>
      </c>
      <c r="N3392" s="24">
        <f>SIN(C3392+ATAN(-N3388/M3388))*SQRT(M3388^2+N3388^2)+B3388</f>
        <v>-279.50119616996653</v>
      </c>
      <c r="O3392" s="24">
        <f>-COS(C3392+ATAN(-P3388/O3388))*SQRT(O3388^2+P3388^2)+A3388</f>
        <v>1340.1549142135639</v>
      </c>
      <c r="P3392" s="2">
        <f>SIN(C3392+ATAN(-P3388/O3388))*SQRT(O3388^2+P3388^2)+B3388</f>
        <v>-368.42424462409929</v>
      </c>
      <c r="Q3392" s="2">
        <f>-COS(C3392+ATAN(-R3388/Q3388))*SQRT(Q3388^2+R3388^2)*C3388+A3388</f>
        <v>1018.8374213545414</v>
      </c>
      <c r="R3392" s="2">
        <f>SIN(C3392+ATAN(-R3388/Q3388))*SQRT(Q3388^2+R3388^2)*C3388+B3388</f>
        <v>216.03753238342415</v>
      </c>
      <c r="S3392" s="2">
        <f>-COS(C3392+ATAN(-T3388/S3388))*SQRT(S3388^2+T3388^2)*C3388+A3388</f>
        <v>965.46723082615836</v>
      </c>
      <c r="T3392" s="2">
        <f>SIN(C3392+ATAN(-T3388/S3388))*SQRT(S3388^2+T3388^2)*C3388+B3388</f>
        <v>138.59765077863312</v>
      </c>
    </row>
    <row r="3393" spans="1:20">
      <c r="A3393" s="2"/>
      <c r="B3393" s="2">
        <v>8</v>
      </c>
      <c r="C3393" s="2">
        <f t="shared" si="173"/>
        <v>4.1887902047863905</v>
      </c>
      <c r="D3393" s="2">
        <f>F3393*2+4</f>
        <v>18</v>
      </c>
      <c r="E3393" s="3" t="s">
        <v>4</v>
      </c>
      <c r="F3393" s="24">
        <v>7</v>
      </c>
      <c r="G3393" s="24">
        <f>-COS(C3393+ATAN(-H3388/G3388))*SQRT(G3388^2+H3388^2)*C3388+A3388</f>
        <v>803.75</v>
      </c>
      <c r="H3393" s="24">
        <f>SIN(C3393+ATAN(-H3388/G3388))*SQRT(G3388^2+H3388^2)*C3388+B3388</f>
        <v>493.50480947161674</v>
      </c>
      <c r="I3393" s="24">
        <f>-COS(C3393+ATAN(-J3388/I3388))*SQRT(I3388^2+J3388^2)*C3388+A3388</f>
        <v>807.42696079827431</v>
      </c>
      <c r="J3393" s="24">
        <f>SIN(C3393+ATAN(-J3388/I3388))*SQRT(I3388^2+J3388^2)*C3388+B3388</f>
        <v>169.13612655156669</v>
      </c>
      <c r="K3393" s="24">
        <f>-COS(C3393+ATAN(-L3388/K3388))*SQRT(K3388^2+L3388^2)*C3388+A3388</f>
        <v>897.85722345983208</v>
      </c>
      <c r="L3393" s="24">
        <f>SIN(C3393+ATAN(-L3388/K3388))*SQRT(K3388^2+L3388^2)*C3388+B3388</f>
        <v>230.00631707995001</v>
      </c>
      <c r="M3393" s="24">
        <f>-COS(C3393+ATAN(-N3388/M3388))*SQRT(M3388^2+N3388^2)+A3388</f>
        <v>952.49880383003335</v>
      </c>
      <c r="N3393" s="24">
        <f>SIN(C3393+ATAN(-N3388/M3388))*SQRT(M3388^2+N3388^2)+B3388</f>
        <v>-488.13567632709692</v>
      </c>
      <c r="O3393" s="24">
        <f>-COS(C3393+ATAN(-P3388/O3388))*SQRT(O3388^2+P3388^2)+A3388</f>
        <v>833.57575537590151</v>
      </c>
      <c r="P3393" s="2">
        <f>SIN(C3393+ATAN(-P3388/O3388))*SQRT(O3388^2+P3388^2)+B3388</f>
        <v>-522.15491421356364</v>
      </c>
      <c r="Q3393" s="2">
        <f>-COS(C3393+ATAN(-R3388/Q3388))*SQRT(Q3388^2+R3388^2)*C3388+A3388</f>
        <v>847.53753238342438</v>
      </c>
      <c r="R3393" s="2">
        <f>SIN(C3393+ATAN(-R3388/Q3388))*SQRT(Q3388^2+R3388^2)*C3388+B3388</f>
        <v>144.66257864545867</v>
      </c>
      <c r="S3393" s="2">
        <f>-COS(C3393+ATAN(-T3388/S3388))*SQRT(S3388^2+T3388^2)*C3388+A3388</f>
        <v>762.59765077863312</v>
      </c>
      <c r="T3393" s="2">
        <f>SIN(C3393+ATAN(-T3388/S3388))*SQRT(S3388^2+T3388^2)*C3388+B3388</f>
        <v>104.28276917384187</v>
      </c>
    </row>
    <row r="3394" spans="1:20">
      <c r="A3394" s="2"/>
      <c r="B3394" s="2"/>
      <c r="C3394" s="2"/>
      <c r="D3394" s="2">
        <v>4</v>
      </c>
      <c r="E3394" s="2" t="s">
        <v>15</v>
      </c>
      <c r="F3394" s="24">
        <v>10</v>
      </c>
      <c r="G3394" s="24"/>
      <c r="H3394" s="24"/>
      <c r="I3394" s="24"/>
      <c r="J3394" s="24"/>
      <c r="K3394" s="24"/>
      <c r="L3394" s="24"/>
      <c r="M3394" s="24"/>
      <c r="N3394" s="24"/>
      <c r="O3394" s="24"/>
      <c r="P3394" s="2"/>
      <c r="Q3394" s="2"/>
      <c r="R3394" s="2"/>
      <c r="S3394" s="2"/>
      <c r="T3394" s="2"/>
    </row>
    <row r="3395" spans="1:20">
      <c r="A3395" s="2"/>
      <c r="B3395" s="2">
        <v>10</v>
      </c>
      <c r="C3395" s="2">
        <f t="shared" si="173"/>
        <v>5.2359877559829888</v>
      </c>
      <c r="D3395" s="2">
        <f>F3395*2+4</f>
        <v>18</v>
      </c>
      <c r="E3395" s="3" t="s">
        <v>4</v>
      </c>
      <c r="F3395" s="24">
        <v>7</v>
      </c>
      <c r="G3395" s="24">
        <f>-COS(C3395+ATAN(-H3388/G3388))*SQRT(G3388^2+H3388^2)*C3388+A3388</f>
        <v>796.25</v>
      </c>
      <c r="H3395" s="24">
        <f>SIN(C3395+ATAN(-H3388/G3388))*SQRT(G3388^2+H3388^2)*C3388+B3388</f>
        <v>493.50480947161674</v>
      </c>
      <c r="I3395" s="24">
        <f>-COS(C3395+ATAN(-J3388/I3388))*SQRT(I3388^2+J3388^2)*C3388+A3388</f>
        <v>517.17696079827419</v>
      </c>
      <c r="J3395" s="24">
        <f>SIN(C3395+ATAN(-J3388/I3388))*SQRT(I3388^2+J3388^2)*C3388+B3388</f>
        <v>328.1361265515668</v>
      </c>
      <c r="K3395" s="24">
        <f>-COS(C3395+ATAN(-L3388/K3388))*SQRT(K3388^2+L3388^2)*C3388+A3388</f>
        <v>615.10722345983197</v>
      </c>
      <c r="L3395" s="24">
        <f>SIN(C3395+ATAN(-L3388/K3388))*SQRT(K3388^2+L3388^2)*C3388+B3388</f>
        <v>280.25631707994995</v>
      </c>
      <c r="M3395" s="24">
        <f>-COS(C3395+ATAN(-N3388/M3388))*SQRT(M3388^2+N3388^2)+A3388</f>
        <v>20.498803830032898</v>
      </c>
      <c r="N3395" s="24">
        <f>SIN(C3395+ATAN(-N3388/M3388))*SQRT(M3388^2+N3388^2)+B3388</f>
        <v>-126.13567632709658</v>
      </c>
      <c r="O3395" s="24">
        <f>-COS(C3395+ATAN(-P3388/O3388))*SQRT(O3388^2+P3388^2)+A3388</f>
        <v>-68.424244624099288</v>
      </c>
      <c r="P3395" s="2">
        <f>SIN(C3395+ATAN(-P3388/O3388))*SQRT(O3388^2+P3388^2)+B3388</f>
        <v>-40.15491421356387</v>
      </c>
      <c r="Q3395" s="2">
        <f>-COS(C3395+ATAN(-R3388/Q3388))*SQRT(Q3388^2+R3388^2)*C3388+A3388</f>
        <v>516.03753238342415</v>
      </c>
      <c r="R3395" s="2">
        <f>SIN(C3395+ATAN(-R3388/Q3388))*SQRT(Q3388^2+R3388^2)*C3388+B3388</f>
        <v>281.16257864545855</v>
      </c>
      <c r="S3395" s="2">
        <f>-COS(C3395+ATAN(-T3388/S3388))*SQRT(S3388^2+T3388^2)*C3388+A3388</f>
        <v>438.5976507786329</v>
      </c>
      <c r="T3395" s="2">
        <f>SIN(C3395+ATAN(-T3388/S3388))*SQRT(S3388^2+T3388^2)*C3388+B3388</f>
        <v>334.53276917384198</v>
      </c>
    </row>
    <row r="3396" spans="1:20">
      <c r="A3396" s="2"/>
      <c r="B3396" s="2">
        <v>11</v>
      </c>
      <c r="C3396" s="2">
        <f t="shared" si="173"/>
        <v>5.7595865315812871</v>
      </c>
      <c r="D3396" s="2">
        <f>F3396*2+4</f>
        <v>18</v>
      </c>
      <c r="E3396" s="3" t="s">
        <v>4</v>
      </c>
      <c r="F3396" s="24">
        <v>7</v>
      </c>
      <c r="G3396" s="24">
        <f>-COS(C3396+ATAN(-H3388/G3388))*SQRT(G3388^2+H3388^2)*C3388+A3388</f>
        <v>793.50480947161668</v>
      </c>
      <c r="H3396" s="24">
        <f>SIN(C3396+ATAN(-H3388/G3388))*SQRT(G3388^2+H3388^2)*C3388+B3388</f>
        <v>496.25</v>
      </c>
      <c r="I3396" s="24">
        <f>-COS(C3396+ATAN(-J3388/I3388))*SQRT(I3388^2+J3388^2)*C3388+A3388</f>
        <v>469.13612655156669</v>
      </c>
      <c r="J3396" s="24">
        <f>SIN(C3396+ATAN(-J3388/I3388))*SQRT(I3388^2+J3388^2)*C3388+B3388</f>
        <v>492.57303920172563</v>
      </c>
      <c r="K3396" s="24">
        <f>-COS(C3396+ATAN(-L3388/K3388))*SQRT(K3388^2+L3388^2)*C3388+A3388</f>
        <v>530.00631707995001</v>
      </c>
      <c r="L3396" s="24">
        <f>SIN(C3396+ATAN(-L3388/K3388))*SQRT(K3388^2+L3388^2)*C3388+B3388</f>
        <v>402.1427765401678</v>
      </c>
      <c r="M3396" s="24">
        <f>-COS(C3396+ATAN(-N3388/M3388))*SQRT(M3388^2+N3388^2)+A3388</f>
        <v>-188.1356763270968</v>
      </c>
      <c r="N3396" s="24">
        <f>SIN(C3396+ATAN(-N3388/M3388))*SQRT(M3388^2+N3388^2)+B3388</f>
        <v>347.50119616996665</v>
      </c>
      <c r="O3396" s="24">
        <f>-COS(C3396+ATAN(-P3388/O3388))*SQRT(O3388^2+P3388^2)+A3388</f>
        <v>-222.15491421356364</v>
      </c>
      <c r="P3396" s="2">
        <f>SIN(C3396+ATAN(-P3388/O3388))*SQRT(O3388^2+P3388^2)+B3388</f>
        <v>466.42424462409849</v>
      </c>
      <c r="Q3396" s="2">
        <f>-COS(C3396+ATAN(-R3388/Q3388))*SQRT(Q3388^2+R3388^2)*C3388+A3388</f>
        <v>444.66257864545867</v>
      </c>
      <c r="R3396" s="2">
        <f>SIN(C3396+ATAN(-R3388/Q3388))*SQRT(Q3388^2+R3388^2)*C3388+B3388</f>
        <v>452.46246761657557</v>
      </c>
      <c r="S3396" s="2">
        <f>-COS(C3396+ATAN(-T3388/S3388))*SQRT(S3388^2+T3388^2)*C3388+A3388</f>
        <v>404.28276917384187</v>
      </c>
      <c r="T3396" s="2">
        <f>SIN(C3396+ATAN(-T3388/S3388))*SQRT(S3388^2+T3388^2)*C3388+B3388</f>
        <v>537.40234922136688</v>
      </c>
    </row>
    <row r="3397" spans="1:20">
      <c r="A3397" s="2"/>
      <c r="B3397" s="2">
        <v>12</v>
      </c>
      <c r="C3397" s="2">
        <f t="shared" si="173"/>
        <v>6.2831853071795862</v>
      </c>
      <c r="D3397" s="2">
        <f>F3397*2+4</f>
        <v>18</v>
      </c>
      <c r="E3397" s="3" t="s">
        <v>4</v>
      </c>
      <c r="F3397" s="24">
        <v>7</v>
      </c>
      <c r="G3397" s="24">
        <f>-COS(C3397+ATAN(-H3388/G3388))*SQRT(G3388^2+H3388^2)*C3388+A3388</f>
        <v>792.5</v>
      </c>
      <c r="H3397" s="24">
        <f>SIN(C3397+ATAN(-H3388/G3388))*SQRT(G3388^2+H3388^2)*C3388+B3388</f>
        <v>500</v>
      </c>
      <c r="I3397" s="24">
        <f>-COS(C3397+ATAN(-J3388/I3388))*SQRT(I3388^2+J3388^2)*C3388+A3388</f>
        <v>509.75</v>
      </c>
      <c r="J3397" s="24">
        <f>SIN(C3397+ATAN(-J3388/I3388))*SQRT(I3388^2+J3388^2)*C3388+B3388</f>
        <v>659</v>
      </c>
      <c r="K3397" s="24">
        <f>-COS(C3397+ATAN(-L3388/K3388))*SQRT(K3388^2+L3388^2)*C3388+A3388</f>
        <v>517.25</v>
      </c>
      <c r="L3397" s="24">
        <f>SIN(C3397+ATAN(-L3388/K3388))*SQRT(K3388^2+L3388^2)*C3388+B3388</f>
        <v>550.24999999999989</v>
      </c>
      <c r="M3397" s="24">
        <f>-COS(C3397+ATAN(-N3388/M3388))*SQRT(M3388^2+N3388^2)+A3388</f>
        <v>-132</v>
      </c>
      <c r="N3397" s="24">
        <f>SIN(C3397+ATAN(-N3388/M3388))*SQRT(M3388^2+N3388^2)+B3388</f>
        <v>862.00000000000011</v>
      </c>
      <c r="O3397" s="24">
        <f>-COS(C3397+ATAN(-P3388/O3388))*SQRT(O3388^2+P3388^2)+A3388</f>
        <v>-101.99999999999977</v>
      </c>
      <c r="P3397" s="2">
        <f>SIN(C3397+ATAN(-P3388/O3388))*SQRT(O3388^2+P3388^2)+B3388</f>
        <v>982.00000000000023</v>
      </c>
      <c r="Q3397" s="2">
        <f>-COS(C3397+ATAN(-R3388/Q3388))*SQRT(Q3388^2+R3388^2)*C3388+A3388</f>
        <v>468.49999999999994</v>
      </c>
      <c r="R3397" s="2">
        <f>SIN(C3397+ATAN(-R3388/Q3388))*SQRT(Q3388^2+R3388^2)*C3388+B3388</f>
        <v>636.49999999999977</v>
      </c>
      <c r="S3397" s="2">
        <f>-COS(C3397+ATAN(-T3388/S3388))*SQRT(S3388^2+T3388^2)*C3388+A3388</f>
        <v>475.99999999999994</v>
      </c>
      <c r="T3397" s="2">
        <f>SIN(C3397+ATAN(-T3388/S3388))*SQRT(S3388^2+T3388^2)*C3388+B3388</f>
        <v>730.25</v>
      </c>
    </row>
    <row r="3398" spans="1:20">
      <c r="A3398" s="2"/>
      <c r="B3398" s="2">
        <v>1</v>
      </c>
      <c r="C3398" s="2">
        <f t="shared" si="173"/>
        <v>0.52359877559829882</v>
      </c>
      <c r="D3398" s="2">
        <f>F3398*2+4</f>
        <v>18</v>
      </c>
      <c r="E3398" s="3" t="s">
        <v>4</v>
      </c>
      <c r="F3398" s="24">
        <v>7</v>
      </c>
      <c r="G3398" s="24">
        <f>-COS(C3398+ATAN(-H3388/G3388))*SQRT(G3388^2+H3388^2)*C3388+A3388</f>
        <v>793.50480947161668</v>
      </c>
      <c r="H3398" s="24">
        <f>SIN(C3398+ATAN(-H3388/G3388))*SQRT(G3388^2+H3388^2)*C3388+B3388</f>
        <v>503.75</v>
      </c>
      <c r="I3398" s="24">
        <f>-COS(C3398+ATAN(-J3388/I3388))*SQRT(I3388^2+J3388^2)*C3388+A3388</f>
        <v>628.13612655156669</v>
      </c>
      <c r="J3398" s="24">
        <f>SIN(C3398+ATAN(-J3388/I3388))*SQRT(I3388^2+J3388^2)*C3388+B3388</f>
        <v>782.82303920172581</v>
      </c>
      <c r="K3398" s="24">
        <f>-COS(C3398+ATAN(-L3388/K3388))*SQRT(K3388^2+L3388^2)*C3388+A3388</f>
        <v>580.25631707994989</v>
      </c>
      <c r="L3398" s="24">
        <f>SIN(C3398+ATAN(-L3388/K3388))*SQRT(K3388^2+L3388^2)*C3388+B3388</f>
        <v>684.89277654016803</v>
      </c>
      <c r="M3398" s="24">
        <f>-COS(C3398+ATAN(-N3388/M3388))*SQRT(M3388^2+N3388^2)+A3388</f>
        <v>173.86432367290308</v>
      </c>
      <c r="N3398" s="24">
        <f>SIN(C3398+ATAN(-N3388/M3388))*SQRT(M3388^2+N3388^2)+B3388</f>
        <v>1279.5011961699668</v>
      </c>
      <c r="O3398" s="24">
        <f>-COS(C3398+ATAN(-P3388/O3388))*SQRT(O3388^2+P3388^2)+A3388</f>
        <v>259.84508578643624</v>
      </c>
      <c r="P3398" s="2">
        <f>SIN(C3398+ATAN(-P3388/O3388))*SQRT(O3388^2+P3388^2)+B3388</f>
        <v>1368.4242446240994</v>
      </c>
      <c r="Q3398" s="2">
        <f>-COS(C3398+ATAN(-R3388/Q3388))*SQRT(Q3388^2+R3388^2)*C3388+A3388</f>
        <v>581.16257864545855</v>
      </c>
      <c r="R3398" s="2">
        <f>SIN(C3398+ATAN(-R3388/Q3388))*SQRT(Q3388^2+R3388^2)*C3388+B3388</f>
        <v>783.96246761657585</v>
      </c>
      <c r="S3398" s="2">
        <f>-COS(C3398+ATAN(-T3388/S3388))*SQRT(S3388^2+T3388^2)*C3388+A3388</f>
        <v>634.53276917384187</v>
      </c>
      <c r="T3398" s="2">
        <f>SIN(C3398+ATAN(-T3388/S3388))*SQRT(S3388^2+T3388^2)*C3388+B3388</f>
        <v>861.4023492213671</v>
      </c>
    </row>
    <row r="3399" spans="1:20">
      <c r="A3399" s="2"/>
      <c r="B3399" s="2">
        <v>2</v>
      </c>
      <c r="C3399" s="2">
        <f t="shared" si="173"/>
        <v>1.0471975511965976</v>
      </c>
      <c r="D3399" s="2">
        <f>F3399*2+4</f>
        <v>18</v>
      </c>
      <c r="E3399" s="3" t="s">
        <v>4</v>
      </c>
      <c r="F3399" s="24">
        <v>7</v>
      </c>
      <c r="G3399" s="24">
        <f>-COS(C3399+ATAN(-H3388/G3388))*SQRT(G3388^2+H3388^2)*C3388+A3388</f>
        <v>796.25</v>
      </c>
      <c r="H3399" s="24">
        <f>SIN(C3399+ATAN(-H3388/G3388))*SQRT(G3388^2+H3388^2)*C3388+B3388</f>
        <v>506.49519052838326</v>
      </c>
      <c r="I3399" s="24">
        <f>-COS(C3399+ATAN(-J3388/I3388))*SQRT(I3388^2+J3388^2)*C3388+A3388</f>
        <v>792.57303920172569</v>
      </c>
      <c r="J3399" s="24">
        <f>SIN(C3399+ATAN(-J3388/I3388))*SQRT(I3388^2+J3388^2)*C3388+B3388</f>
        <v>830.86387344843331</v>
      </c>
      <c r="K3399" s="24">
        <f>-COS(C3399+ATAN(-L3388/K3388))*SQRT(K3388^2+L3388^2)*C3388+A3388</f>
        <v>702.14277654016803</v>
      </c>
      <c r="L3399" s="24">
        <f>SIN(C3399+ATAN(-L3388/K3388))*SQRT(K3388^2+L3388^2)*C3388+B3388</f>
        <v>769.99368292004999</v>
      </c>
      <c r="M3399" s="24">
        <f>-COS(C3399+ATAN(-N3388/M3388))*SQRT(M3388^2+N3388^2)+A3388</f>
        <v>647.50119616996676</v>
      </c>
      <c r="N3399" s="24">
        <f>SIN(C3399+ATAN(-N3388/M3388))*SQRT(M3388^2+N3388^2)+B3388</f>
        <v>1488.1356763270969</v>
      </c>
      <c r="O3399" s="24">
        <f>-COS(C3399+ATAN(-P3388/O3388))*SQRT(O3388^2+P3388^2)+A3388</f>
        <v>766.4242446240994</v>
      </c>
      <c r="P3399" s="2">
        <f>SIN(C3399+ATAN(-P3388/O3388))*SQRT(O3388^2+P3388^2)+B3388</f>
        <v>1522.1549142135636</v>
      </c>
      <c r="Q3399" s="2">
        <f>-COS(C3399+ATAN(-R3388/Q3388))*SQRT(Q3388^2+R3388^2)*C3388+A3388</f>
        <v>752.46246761657585</v>
      </c>
      <c r="R3399" s="2">
        <f>SIN(C3399+ATAN(-R3388/Q3388))*SQRT(Q3388^2+R3388^2)*C3388+B3388</f>
        <v>855.33742135454145</v>
      </c>
      <c r="S3399" s="2">
        <f>-COS(C3399+ATAN(-T3388/S3388))*SQRT(S3388^2+T3388^2)*C3388+A3388</f>
        <v>837.40234922136699</v>
      </c>
      <c r="T3399" s="2">
        <f>SIN(C3399+ATAN(-T3388/S3388))*SQRT(S3388^2+T3388^2)*C3388+B3388</f>
        <v>895.71723082615813</v>
      </c>
    </row>
    <row r="3400" spans="1:20">
      <c r="A3400" s="2"/>
      <c r="B3400" s="2"/>
      <c r="C3400" s="2"/>
      <c r="D3400" s="2">
        <v>4</v>
      </c>
      <c r="E3400" s="2" t="s">
        <v>15</v>
      </c>
      <c r="F3400" s="24">
        <v>1</v>
      </c>
      <c r="G3400" s="24"/>
      <c r="H3400" s="24"/>
      <c r="I3400" s="24"/>
      <c r="J3400" s="24"/>
      <c r="K3400" s="24"/>
      <c r="L3400" s="24"/>
      <c r="M3400" s="24"/>
      <c r="N3400" s="24"/>
      <c r="O3400" s="24"/>
      <c r="P3400" s="2"/>
      <c r="Q3400" s="2"/>
      <c r="R3400" s="2"/>
      <c r="S3400" s="2"/>
      <c r="T3400" s="2"/>
    </row>
    <row r="3401" spans="1:20">
      <c r="A3401" s="2"/>
      <c r="B3401" s="2"/>
      <c r="C3401" s="2"/>
      <c r="D3401" s="2">
        <v>4</v>
      </c>
      <c r="E3401" s="2" t="s">
        <v>15</v>
      </c>
      <c r="F3401" s="24">
        <v>3</v>
      </c>
      <c r="G3401" s="24"/>
      <c r="H3401" s="24"/>
      <c r="I3401" s="24"/>
      <c r="K3401" s="24"/>
      <c r="L3401" s="24"/>
      <c r="M3401" s="24"/>
      <c r="N3401" s="24"/>
      <c r="O3401" s="24"/>
      <c r="P3401" s="2"/>
      <c r="Q3401" s="2"/>
      <c r="R3401" s="2"/>
      <c r="S3401" s="2"/>
      <c r="T3401" s="2"/>
    </row>
    <row r="3402" spans="1:20">
      <c r="A3402" s="2"/>
      <c r="B3402" s="2"/>
      <c r="C3402" s="2"/>
      <c r="D3402" s="2">
        <v>7</v>
      </c>
      <c r="E3402" s="2" t="s">
        <v>0</v>
      </c>
      <c r="F3402" s="24">
        <v>200</v>
      </c>
      <c r="G3402" s="33">
        <v>250</v>
      </c>
      <c r="H3402" s="24">
        <f>F3402+K3402</f>
        <v>800</v>
      </c>
      <c r="I3402" s="24">
        <f>G3402+K3402</f>
        <v>850</v>
      </c>
      <c r="J3402" s="24"/>
      <c r="K3402" s="25">
        <v>600</v>
      </c>
      <c r="L3402" s="36"/>
      <c r="M3402" s="24"/>
      <c r="N3402" s="24"/>
      <c r="O3402" s="24"/>
      <c r="P3402" s="2"/>
      <c r="Q3402" s="2"/>
      <c r="R3402" s="2"/>
      <c r="S3402" s="2"/>
      <c r="T3402" s="2"/>
    </row>
    <row r="3403" spans="1:20">
      <c r="C3403" s="2"/>
      <c r="D3403" s="2">
        <v>4</v>
      </c>
      <c r="E3403" s="2" t="s">
        <v>15</v>
      </c>
      <c r="F3403" s="24">
        <v>6</v>
      </c>
      <c r="G3403" s="33"/>
      <c r="H3403" s="24"/>
      <c r="I3403" s="24"/>
      <c r="J3403" s="24"/>
      <c r="L3403" s="36"/>
      <c r="M3403" s="24"/>
      <c r="N3403" s="24"/>
      <c r="O3403" s="24"/>
      <c r="P3403" s="2"/>
      <c r="Q3403" s="2"/>
      <c r="R3403" s="2"/>
      <c r="S3403" s="2"/>
      <c r="T3403" s="2"/>
    </row>
    <row r="3404" spans="1:20">
      <c r="A3404" s="2"/>
      <c r="B3404" s="2"/>
      <c r="D3404" s="2">
        <v>7</v>
      </c>
      <c r="E3404" s="2" t="s">
        <v>0</v>
      </c>
      <c r="F3404" s="24">
        <f>F3402</f>
        <v>200</v>
      </c>
      <c r="G3404" s="24">
        <f>G3402+500</f>
        <v>750</v>
      </c>
      <c r="H3404" s="24">
        <f>F3404+K3402</f>
        <v>800</v>
      </c>
      <c r="I3404" s="24">
        <f>G3404+K3402</f>
        <v>1350</v>
      </c>
      <c r="K3404" s="24">
        <v>1050</v>
      </c>
      <c r="L3404" s="24">
        <v>500</v>
      </c>
      <c r="M3404" s="24"/>
      <c r="N3404" s="24"/>
      <c r="O3404" s="24"/>
      <c r="P3404" s="2"/>
      <c r="Q3404" s="2"/>
      <c r="R3404" s="2"/>
      <c r="S3404" s="2"/>
      <c r="T3404" s="2"/>
    </row>
    <row r="3405" spans="1:20">
      <c r="A3405" s="2"/>
      <c r="B3405" s="2"/>
      <c r="C3405" s="2"/>
      <c r="D3405" s="2">
        <v>4</v>
      </c>
      <c r="E3405" s="2" t="s">
        <v>15</v>
      </c>
      <c r="F3405" s="24">
        <v>5</v>
      </c>
      <c r="G3405" s="24"/>
      <c r="H3405" s="24"/>
      <c r="I3405" s="24"/>
      <c r="J3405" s="24"/>
      <c r="M3405" s="24"/>
      <c r="N3405" s="24"/>
      <c r="O3405" s="24"/>
      <c r="P3405" s="2"/>
      <c r="Q3405" s="2"/>
      <c r="R3405" s="2"/>
      <c r="S3405" s="2"/>
      <c r="T3405" s="2"/>
    </row>
    <row r="3406" spans="1:20">
      <c r="D3406" s="2">
        <v>7</v>
      </c>
      <c r="E3406" s="2" t="s">
        <v>0</v>
      </c>
      <c r="F3406" s="6">
        <f>F3402+9</f>
        <v>209</v>
      </c>
      <c r="G3406" s="6">
        <f>G3402+9</f>
        <v>259</v>
      </c>
      <c r="H3406" s="24">
        <f>F3406+K3402</f>
        <v>809</v>
      </c>
      <c r="I3406" s="24">
        <f>G3406+K3402</f>
        <v>859</v>
      </c>
      <c r="K3406" s="24"/>
      <c r="L3406" s="24"/>
      <c r="M3406" s="24"/>
      <c r="N3406" s="24"/>
      <c r="O3406" s="24"/>
      <c r="P3406" s="2"/>
      <c r="Q3406" s="2"/>
      <c r="R3406" s="2"/>
      <c r="S3406" s="2"/>
      <c r="T3406" s="2"/>
    </row>
    <row r="3407" spans="1:20">
      <c r="D3407" s="2">
        <v>4</v>
      </c>
      <c r="E3407" s="2" t="s">
        <v>15</v>
      </c>
      <c r="F3407" s="24">
        <v>8</v>
      </c>
      <c r="H3407" s="24"/>
      <c r="I3407" s="24"/>
      <c r="K3407" s="24"/>
      <c r="L3407" s="24"/>
      <c r="O3407" s="24"/>
      <c r="P3407" s="2"/>
      <c r="Q3407" s="2"/>
      <c r="R3407" s="2"/>
      <c r="S3407" s="2"/>
      <c r="T3407" s="2"/>
    </row>
    <row r="3408" spans="1:20">
      <c r="A3408" s="2"/>
      <c r="B3408" s="2"/>
      <c r="D3408" s="2">
        <v>7</v>
      </c>
      <c r="E3408" s="2" t="s">
        <v>0</v>
      </c>
      <c r="F3408" s="6">
        <f>F3404+9</f>
        <v>209</v>
      </c>
      <c r="G3408" s="6">
        <f>G3404+9</f>
        <v>759</v>
      </c>
      <c r="H3408" s="24">
        <f>F3408+K3402</f>
        <v>809</v>
      </c>
      <c r="I3408" s="24">
        <f>G3408+K3402</f>
        <v>1359</v>
      </c>
      <c r="J3408" s="24"/>
      <c r="K3408" s="24"/>
      <c r="L3408" s="24"/>
      <c r="O3408" s="24"/>
      <c r="P3408" s="2"/>
      <c r="Q3408" s="2"/>
      <c r="R3408" s="2"/>
      <c r="S3408" s="2"/>
      <c r="T3408" s="2"/>
    </row>
    <row r="3409" spans="1:32">
      <c r="A3409" s="2"/>
      <c r="B3409" s="2"/>
      <c r="D3409" s="2">
        <v>4</v>
      </c>
      <c r="E3409" s="2" t="s">
        <v>15</v>
      </c>
      <c r="F3409" s="24">
        <v>4</v>
      </c>
      <c r="G3409" s="24"/>
      <c r="H3409" s="24"/>
      <c r="I3409" s="24"/>
      <c r="J3409" s="24"/>
      <c r="K3409" s="24"/>
      <c r="L3409" s="24"/>
      <c r="O3409" s="24"/>
      <c r="P3409" s="2"/>
      <c r="Q3409" s="2"/>
      <c r="R3409" s="2"/>
      <c r="S3409" s="2"/>
      <c r="T3409" s="2"/>
    </row>
    <row r="3410" spans="1:32">
      <c r="D3410" s="2">
        <f>F3410*2+4</f>
        <v>8</v>
      </c>
      <c r="E3410" s="2" t="s">
        <v>1</v>
      </c>
      <c r="F3410" s="24">
        <v>2</v>
      </c>
      <c r="G3410" s="24">
        <f>G3402+530</f>
        <v>780</v>
      </c>
      <c r="H3410" s="24">
        <v>670</v>
      </c>
      <c r="I3410" s="24">
        <f>G3402+565</f>
        <v>815</v>
      </c>
      <c r="J3410" s="6">
        <v>603</v>
      </c>
      <c r="K3410" s="24"/>
      <c r="L3410" s="24"/>
      <c r="O3410" s="24"/>
      <c r="P3410" s="2"/>
      <c r="Q3410" s="2"/>
      <c r="R3410" s="2"/>
      <c r="S3410" s="2"/>
      <c r="T3410" s="2"/>
    </row>
    <row r="3411" spans="1:32">
      <c r="C3411" s="2"/>
      <c r="D3411" s="2">
        <v>4</v>
      </c>
      <c r="E3411" s="2" t="s">
        <v>15</v>
      </c>
      <c r="F3411" s="24">
        <v>7</v>
      </c>
      <c r="G3411" s="24"/>
      <c r="H3411" s="24"/>
      <c r="I3411" s="24"/>
      <c r="K3411" s="24"/>
      <c r="L3411" s="24"/>
      <c r="M3411" s="24"/>
      <c r="N3411" s="24"/>
      <c r="O3411" s="24"/>
      <c r="P3411" s="2"/>
      <c r="Q3411" s="2"/>
      <c r="R3411" s="2"/>
      <c r="S3411" s="2"/>
      <c r="T3411" s="2"/>
    </row>
    <row r="3412" spans="1:32">
      <c r="A3412" s="2"/>
      <c r="B3412" s="2"/>
      <c r="C3412" s="2"/>
      <c r="D3412" s="2">
        <f>F3412*2+4</f>
        <v>8</v>
      </c>
      <c r="E3412" s="2" t="s">
        <v>1</v>
      </c>
      <c r="F3412" s="24">
        <v>2</v>
      </c>
      <c r="G3412" s="24">
        <f>G3402+530</f>
        <v>780</v>
      </c>
      <c r="H3412" s="24">
        <v>340</v>
      </c>
      <c r="I3412" s="24">
        <f>G3402+565</f>
        <v>815</v>
      </c>
      <c r="J3412" s="24">
        <v>292</v>
      </c>
      <c r="K3412" s="24"/>
      <c r="L3412" s="24"/>
      <c r="M3412" s="24"/>
      <c r="N3412" s="24"/>
      <c r="O3412" s="24"/>
      <c r="P3412" s="2"/>
      <c r="Q3412" s="2"/>
      <c r="R3412" s="2"/>
      <c r="S3412" s="2"/>
      <c r="T3412" s="2"/>
    </row>
    <row r="3413" spans="1:32">
      <c r="A3413" s="2"/>
      <c r="B3413" s="2"/>
      <c r="C3413" s="2"/>
      <c r="D3413" s="2">
        <f>ROUNDUP(6+F3413/2,0)</f>
        <v>8</v>
      </c>
      <c r="E3413" s="2" t="s">
        <v>6</v>
      </c>
      <c r="F3413" s="24">
        <f>LEN(G3413)</f>
        <v>3</v>
      </c>
      <c r="G3413" s="24" t="s">
        <v>446</v>
      </c>
      <c r="H3413" s="24">
        <v>-50</v>
      </c>
      <c r="I3413" s="24">
        <f>G3402-120</f>
        <v>130</v>
      </c>
      <c r="J3413" s="24"/>
      <c r="K3413" s="24"/>
      <c r="L3413" s="24"/>
      <c r="M3413" s="24"/>
      <c r="N3413" s="24"/>
      <c r="O3413" s="24"/>
      <c r="P3413" s="2"/>
      <c r="Q3413" s="2"/>
      <c r="R3413" s="2"/>
      <c r="S3413" s="2"/>
      <c r="T3413" s="2"/>
    </row>
    <row r="3414" spans="1:32">
      <c r="A3414" s="2"/>
      <c r="B3414" s="2"/>
      <c r="C3414" s="2"/>
      <c r="D3414" s="2">
        <f>ROUNDUP(6+F3414/2,0)</f>
        <v>8</v>
      </c>
      <c r="E3414" s="2" t="s">
        <v>6</v>
      </c>
      <c r="F3414" s="24">
        <f>LEN(G3414)</f>
        <v>3</v>
      </c>
      <c r="G3414" s="24" t="s">
        <v>447</v>
      </c>
      <c r="H3414" s="24">
        <v>450</v>
      </c>
      <c r="I3414" s="24">
        <f>G3402-220</f>
        <v>30</v>
      </c>
      <c r="J3414" s="24"/>
      <c r="K3414" s="24"/>
      <c r="L3414" s="24"/>
      <c r="M3414" s="24"/>
      <c r="N3414" s="24"/>
      <c r="O3414" s="24"/>
      <c r="P3414" s="2"/>
      <c r="Q3414" s="2"/>
      <c r="R3414" s="2"/>
      <c r="S3414" s="2"/>
      <c r="T3414" s="2"/>
    </row>
    <row r="3418" spans="1:32">
      <c r="A3418" s="48" t="s">
        <v>383</v>
      </c>
      <c r="B3418" s="1" t="s">
        <v>450</v>
      </c>
      <c r="D3418" s="48" t="s">
        <v>449</v>
      </c>
      <c r="E3418" s="48">
        <v>52695</v>
      </c>
      <c r="F3418" s="6">
        <v>39622</v>
      </c>
      <c r="G3418" s="6">
        <v>0</v>
      </c>
      <c r="H3418" s="6">
        <v>0</v>
      </c>
      <c r="I3418" s="6">
        <v>0</v>
      </c>
      <c r="J3418" s="6">
        <v>11500</v>
      </c>
      <c r="K3418" s="6">
        <v>7900</v>
      </c>
      <c r="L3418" s="6">
        <v>1920</v>
      </c>
      <c r="M3418" s="6">
        <v>0</v>
      </c>
      <c r="N3418" s="6">
        <v>0</v>
      </c>
      <c r="O3418" s="6" t="e">
        <f ca="1">checksummeint(G3418,H3418,I3418,J3418,K3418,L3418,M3418,N3418)</f>
        <v>#NAME?</v>
      </c>
      <c r="P3418" s="48"/>
      <c r="Q3418" s="48"/>
      <c r="R3418" s="48"/>
      <c r="S3418" s="48"/>
      <c r="T3418" s="49"/>
      <c r="U3418" s="49"/>
      <c r="V3418" s="48"/>
      <c r="W3418" s="48"/>
      <c r="X3418" s="48"/>
      <c r="Y3418" s="48"/>
      <c r="Z3418" s="48"/>
      <c r="AA3418" s="48"/>
      <c r="AB3418" s="48"/>
      <c r="AC3418" s="48"/>
      <c r="AD3418" s="48"/>
      <c r="AE3418" s="48"/>
      <c r="AF3418" s="48"/>
    </row>
    <row r="3419" spans="1:32">
      <c r="A3419" s="1"/>
      <c r="D3419" s="48">
        <v>28</v>
      </c>
      <c r="E3419" s="48" t="s">
        <v>12</v>
      </c>
      <c r="F3419" s="6">
        <v>360</v>
      </c>
      <c r="G3419" s="6">
        <v>0</v>
      </c>
      <c r="H3419" s="6">
        <v>0</v>
      </c>
      <c r="I3419" s="6">
        <v>0</v>
      </c>
      <c r="J3419" s="6">
        <v>400</v>
      </c>
      <c r="K3419" s="6">
        <v>0</v>
      </c>
      <c r="L3419" s="6">
        <v>0</v>
      </c>
      <c r="M3419" s="6">
        <v>0</v>
      </c>
      <c r="N3419" s="6">
        <v>0</v>
      </c>
      <c r="O3419" s="6" t="s">
        <v>19</v>
      </c>
      <c r="P3419" s="48"/>
      <c r="Q3419" s="48"/>
      <c r="R3419" s="48"/>
      <c r="S3419" s="48"/>
      <c r="T3419" s="49"/>
      <c r="U3419" s="49"/>
      <c r="V3419" s="48"/>
      <c r="W3419" s="48"/>
      <c r="X3419" s="48"/>
      <c r="Y3419" s="48"/>
      <c r="Z3419" s="48"/>
      <c r="AA3419" s="48"/>
      <c r="AB3419" s="48"/>
      <c r="AC3419" s="48"/>
      <c r="AD3419" s="48"/>
      <c r="AE3419" s="48"/>
      <c r="AF3419" s="48"/>
    </row>
    <row r="3420" spans="1:32">
      <c r="D3420" s="48">
        <v>5</v>
      </c>
      <c r="E3420" s="48" t="s">
        <v>59</v>
      </c>
      <c r="F3420" s="6">
        <v>1</v>
      </c>
      <c r="G3420" s="6">
        <v>0</v>
      </c>
      <c r="N3420" s="50"/>
      <c r="O3420" s="36" t="s">
        <v>22</v>
      </c>
      <c r="P3420" s="3" t="s">
        <v>21</v>
      </c>
      <c r="Q3420" s="3" t="s">
        <v>42</v>
      </c>
      <c r="R3420" s="3" t="s">
        <v>24</v>
      </c>
      <c r="S3420" s="3" t="s">
        <v>25</v>
      </c>
      <c r="T3420" s="49"/>
      <c r="U3420" s="49"/>
      <c r="V3420" s="48"/>
      <c r="W3420" s="48"/>
      <c r="X3420" s="48"/>
      <c r="Y3420" s="48"/>
      <c r="Z3420" s="48"/>
      <c r="AA3420" s="48"/>
      <c r="AB3420" s="48"/>
      <c r="AC3420" s="48"/>
      <c r="AD3420" s="48"/>
      <c r="AE3420" s="48"/>
      <c r="AF3420" s="48"/>
    </row>
    <row r="3421" spans="1:32">
      <c r="D3421" s="48">
        <v>8</v>
      </c>
      <c r="E3421" s="48" t="s">
        <v>14</v>
      </c>
      <c r="F3421" s="6">
        <v>0</v>
      </c>
      <c r="G3421" s="6">
        <v>16</v>
      </c>
      <c r="H3421" s="6">
        <v>0</v>
      </c>
      <c r="I3421" s="6">
        <v>0</v>
      </c>
      <c r="J3421" s="6">
        <v>0</v>
      </c>
      <c r="M3421" s="44"/>
      <c r="N3421" s="6" t="s">
        <v>450</v>
      </c>
      <c r="O3421" s="6">
        <v>50</v>
      </c>
      <c r="P3421" s="48">
        <v>30</v>
      </c>
      <c r="Q3421" s="48">
        <v>10</v>
      </c>
      <c r="R3421" s="49">
        <f t="shared" ref="R3421:R3426" si="174">O3421*Q3421</f>
        <v>500</v>
      </c>
      <c r="S3421" s="49">
        <f t="shared" ref="S3421:S3426" si="175">P3421*Q3421</f>
        <v>300</v>
      </c>
      <c r="T3421" s="49"/>
      <c r="U3421" s="49"/>
      <c r="V3421" s="48"/>
      <c r="W3421" s="48"/>
      <c r="X3421" s="48"/>
      <c r="Y3421" s="48"/>
      <c r="Z3421" s="48"/>
      <c r="AA3421" s="48"/>
      <c r="AB3421" s="48"/>
      <c r="AC3421" s="48"/>
      <c r="AD3421" s="48"/>
      <c r="AE3421" s="48"/>
      <c r="AF3421" s="48"/>
    </row>
    <row r="3422" spans="1:32">
      <c r="D3422" s="48">
        <v>7</v>
      </c>
      <c r="E3422" s="48" t="s">
        <v>11</v>
      </c>
      <c r="F3422" s="6">
        <v>0</v>
      </c>
      <c r="G3422" s="50">
        <f>255*256+192</f>
        <v>65472</v>
      </c>
      <c r="H3422" s="50">
        <v>192</v>
      </c>
      <c r="I3422" s="6">
        <v>0</v>
      </c>
      <c r="N3422" s="6" t="s">
        <v>451</v>
      </c>
      <c r="O3422" s="6">
        <v>160</v>
      </c>
      <c r="P3422" s="48">
        <v>3</v>
      </c>
      <c r="Q3422" s="48">
        <v>6</v>
      </c>
      <c r="R3422" s="49">
        <f t="shared" si="174"/>
        <v>960</v>
      </c>
      <c r="S3422" s="49">
        <f t="shared" si="175"/>
        <v>18</v>
      </c>
      <c r="T3422" s="49"/>
      <c r="U3422" s="49"/>
      <c r="V3422" s="48"/>
      <c r="W3422" s="48"/>
      <c r="X3422" s="48"/>
      <c r="Y3422" s="48"/>
      <c r="Z3422" s="48"/>
      <c r="AA3422" s="48"/>
      <c r="AB3422" s="48"/>
      <c r="AC3422" s="48"/>
      <c r="AD3422" s="48"/>
      <c r="AE3422" s="48"/>
      <c r="AF3422" s="48"/>
    </row>
    <row r="3423" spans="1:32">
      <c r="D3423" s="48">
        <v>7</v>
      </c>
      <c r="E3423" s="48" t="s">
        <v>11</v>
      </c>
      <c r="F3423" s="6">
        <v>0</v>
      </c>
      <c r="G3423" s="6">
        <v>0</v>
      </c>
      <c r="H3423" s="6">
        <v>0</v>
      </c>
      <c r="I3423" s="6">
        <v>0</v>
      </c>
      <c r="N3423" s="50" t="s">
        <v>452</v>
      </c>
      <c r="O3423" s="6">
        <v>240</v>
      </c>
      <c r="P3423" s="48">
        <v>2</v>
      </c>
      <c r="Q3423" s="49">
        <v>7</v>
      </c>
      <c r="R3423" s="49">
        <f t="shared" si="174"/>
        <v>1680</v>
      </c>
      <c r="S3423" s="49">
        <f t="shared" si="175"/>
        <v>14</v>
      </c>
      <c r="T3423" s="49"/>
      <c r="U3423" s="49"/>
      <c r="V3423" s="48"/>
      <c r="W3423" s="48"/>
      <c r="X3423" s="48"/>
      <c r="Y3423" s="48"/>
      <c r="Z3423" s="48"/>
      <c r="AA3423" s="48"/>
      <c r="AB3423" s="48"/>
      <c r="AC3423" s="48"/>
      <c r="AD3423" s="48"/>
      <c r="AE3423" s="48"/>
      <c r="AF3423" s="48"/>
    </row>
    <row r="3424" spans="1:32">
      <c r="D3424" s="48">
        <v>7</v>
      </c>
      <c r="E3424" s="48" t="s">
        <v>11</v>
      </c>
      <c r="F3424" s="6">
        <v>0</v>
      </c>
      <c r="G3424" s="6">
        <v>255</v>
      </c>
      <c r="H3424" s="6">
        <v>0</v>
      </c>
      <c r="I3424" s="6">
        <v>0</v>
      </c>
      <c r="N3424" s="50" t="s">
        <v>453</v>
      </c>
      <c r="O3424" s="6">
        <v>175</v>
      </c>
      <c r="P3424" s="48">
        <v>4</v>
      </c>
      <c r="Q3424" s="49">
        <v>8</v>
      </c>
      <c r="R3424" s="49">
        <f t="shared" si="174"/>
        <v>1400</v>
      </c>
      <c r="S3424" s="49">
        <f t="shared" si="175"/>
        <v>32</v>
      </c>
      <c r="T3424" s="49"/>
      <c r="U3424" s="49"/>
      <c r="V3424" s="48"/>
      <c r="W3424" s="48"/>
      <c r="X3424" s="48"/>
      <c r="Y3424" s="48"/>
      <c r="Z3424" s="48"/>
      <c r="AA3424" s="48"/>
      <c r="AB3424" s="48"/>
      <c r="AC3424" s="48"/>
      <c r="AD3424" s="48"/>
      <c r="AE3424" s="48"/>
      <c r="AF3424" s="48"/>
    </row>
    <row r="3425" spans="1:32">
      <c r="A3425" s="1"/>
      <c r="B3425" s="1"/>
      <c r="D3425" s="48">
        <v>4</v>
      </c>
      <c r="E3425" s="48" t="s">
        <v>15</v>
      </c>
      <c r="F3425" s="6">
        <v>0</v>
      </c>
      <c r="G3425" s="50"/>
      <c r="N3425" s="6" t="s">
        <v>453</v>
      </c>
      <c r="O3425" s="6">
        <v>190</v>
      </c>
      <c r="P3425" s="48">
        <v>5</v>
      </c>
      <c r="Q3425" s="48">
        <v>9</v>
      </c>
      <c r="R3425" s="49">
        <f t="shared" si="174"/>
        <v>1710</v>
      </c>
      <c r="S3425" s="49">
        <f t="shared" si="175"/>
        <v>45</v>
      </c>
      <c r="T3425" s="49"/>
      <c r="U3425" s="49"/>
      <c r="V3425" s="48"/>
      <c r="W3425" s="48"/>
      <c r="X3425" s="48"/>
      <c r="Y3425" s="48"/>
      <c r="Z3425" s="48"/>
      <c r="AA3425" s="48"/>
      <c r="AB3425" s="48"/>
      <c r="AC3425" s="48"/>
      <c r="AD3425" s="48"/>
      <c r="AE3425" s="48"/>
      <c r="AF3425" s="48"/>
    </row>
    <row r="3426" spans="1:32">
      <c r="A3426" s="1"/>
      <c r="B3426" s="1"/>
      <c r="D3426" s="48">
        <v>4</v>
      </c>
      <c r="E3426" s="48" t="s">
        <v>15</v>
      </c>
      <c r="F3426" s="6">
        <v>1</v>
      </c>
      <c r="N3426" s="31" t="s">
        <v>456</v>
      </c>
      <c r="O3426" s="6">
        <v>300</v>
      </c>
      <c r="P3426" s="48">
        <v>3</v>
      </c>
      <c r="Q3426" s="48">
        <v>10</v>
      </c>
      <c r="R3426" s="49">
        <f t="shared" si="174"/>
        <v>3000</v>
      </c>
      <c r="S3426" s="49">
        <f t="shared" si="175"/>
        <v>30</v>
      </c>
      <c r="T3426" s="49"/>
      <c r="U3426" s="49"/>
      <c r="V3426" s="48"/>
      <c r="W3426" s="48"/>
      <c r="X3426" s="48"/>
      <c r="Y3426" s="48"/>
      <c r="Z3426" s="48"/>
      <c r="AA3426" s="48"/>
      <c r="AB3426" s="48"/>
      <c r="AC3426" s="48"/>
      <c r="AD3426" s="48"/>
      <c r="AE3426" s="48"/>
      <c r="AF3426" s="48"/>
    </row>
    <row r="3427" spans="1:32">
      <c r="A3427" s="1"/>
      <c r="B3427" s="1"/>
      <c r="D3427" s="48"/>
      <c r="E3427" s="1" t="s">
        <v>448</v>
      </c>
      <c r="G3427" s="50"/>
      <c r="P3427" s="48"/>
      <c r="Q3427" s="48"/>
      <c r="R3427" s="49">
        <f>SUM(R3422:R3426)</f>
        <v>8750</v>
      </c>
      <c r="S3427" s="48"/>
      <c r="T3427" s="49"/>
      <c r="U3427" s="49"/>
      <c r="V3427" s="48"/>
      <c r="W3427" s="48"/>
      <c r="X3427" s="48"/>
      <c r="Y3427" s="48"/>
      <c r="Z3427" s="48"/>
      <c r="AA3427" s="48"/>
      <c r="AB3427" s="48"/>
      <c r="AC3427" s="48"/>
      <c r="AD3427" s="48"/>
      <c r="AE3427" s="48"/>
      <c r="AF3427" s="48"/>
    </row>
    <row r="3428" spans="1:32">
      <c r="A3428" s="1"/>
      <c r="B3428" s="1"/>
      <c r="D3428" s="48"/>
      <c r="E3428" s="48" t="s">
        <v>113</v>
      </c>
      <c r="F3428" s="6">
        <v>200</v>
      </c>
      <c r="G3428" s="50">
        <v>768</v>
      </c>
      <c r="H3428" s="50">
        <f>256*9</f>
        <v>2304</v>
      </c>
      <c r="I3428" s="50">
        <f>G3428+8750</f>
        <v>9518</v>
      </c>
      <c r="J3428" s="50">
        <f>H3428-1800</f>
        <v>504</v>
      </c>
      <c r="K3428" s="50" t="s">
        <v>22</v>
      </c>
      <c r="L3428" s="49">
        <v>-1</v>
      </c>
      <c r="M3428" s="49">
        <v>0</v>
      </c>
      <c r="N3428" s="49">
        <f>COUNT(S3428:CD3428)</f>
        <v>10</v>
      </c>
      <c r="O3428" s="50">
        <v>0</v>
      </c>
      <c r="P3428" s="50">
        <v>0</v>
      </c>
      <c r="Q3428" s="49">
        <v>3</v>
      </c>
      <c r="R3428" s="49"/>
      <c r="S3428" s="49">
        <v>0</v>
      </c>
      <c r="T3428" s="49">
        <f>S3428+R3422</f>
        <v>960</v>
      </c>
      <c r="U3428" s="49">
        <f>T3428</f>
        <v>960</v>
      </c>
      <c r="V3428" s="49">
        <f>U3428+R3423</f>
        <v>2640</v>
      </c>
      <c r="W3428" s="49">
        <f>V3428</f>
        <v>2640</v>
      </c>
      <c r="X3428" s="49">
        <f>W3428+R3424</f>
        <v>4040</v>
      </c>
      <c r="Y3428" s="49">
        <f>X3428</f>
        <v>4040</v>
      </c>
      <c r="Z3428" s="49">
        <f>Y3428+R3425</f>
        <v>5750</v>
      </c>
      <c r="AA3428" s="49">
        <f>Z3428</f>
        <v>5750</v>
      </c>
      <c r="AB3428" s="49">
        <f>AA3428+R3426</f>
        <v>8750</v>
      </c>
      <c r="AC3428" s="49"/>
      <c r="AD3428" s="49"/>
      <c r="AE3428" s="49"/>
      <c r="AF3428" s="49"/>
    </row>
    <row r="3429" spans="1:32">
      <c r="A3429" s="1"/>
      <c r="B3429" s="1"/>
      <c r="D3429" s="48"/>
      <c r="E3429" s="1" t="s">
        <v>448</v>
      </c>
      <c r="K3429" s="36" t="s">
        <v>454</v>
      </c>
      <c r="L3429" s="50">
        <v>-1</v>
      </c>
      <c r="M3429" s="49"/>
      <c r="N3429" s="48"/>
      <c r="O3429" s="49"/>
      <c r="P3429" s="49"/>
      <c r="Q3429" s="50">
        <v>2</v>
      </c>
      <c r="R3429" s="36" t="s">
        <v>724</v>
      </c>
      <c r="S3429" s="49">
        <v>0</v>
      </c>
      <c r="T3429" s="49">
        <f>S3422</f>
        <v>18</v>
      </c>
      <c r="U3429" s="49">
        <v>0</v>
      </c>
      <c r="V3429" s="49">
        <f>S3423</f>
        <v>14</v>
      </c>
      <c r="W3429" s="49">
        <v>0</v>
      </c>
      <c r="X3429" s="49">
        <f>S3424</f>
        <v>32</v>
      </c>
      <c r="Y3429" s="49">
        <v>0</v>
      </c>
      <c r="Z3429" s="49">
        <f>S3425</f>
        <v>45</v>
      </c>
      <c r="AA3429" s="49">
        <v>0</v>
      </c>
      <c r="AB3429" s="49">
        <f>S3426</f>
        <v>30</v>
      </c>
      <c r="AC3429" s="49"/>
      <c r="AD3429" s="49"/>
      <c r="AE3429" s="49"/>
      <c r="AF3429" s="49"/>
    </row>
    <row r="3430" spans="1:32">
      <c r="A3430" s="1"/>
      <c r="B3430" s="1"/>
      <c r="D3430" s="48"/>
      <c r="E3430" s="48" t="s">
        <v>113</v>
      </c>
      <c r="F3430" s="6">
        <v>200</v>
      </c>
      <c r="G3430" s="50">
        <v>768</v>
      </c>
      <c r="H3430" s="50">
        <f>H3428+3072</f>
        <v>5376</v>
      </c>
      <c r="I3430" s="50">
        <f>G3430+8750</f>
        <v>9518</v>
      </c>
      <c r="J3430" s="50">
        <f>H3430-1800</f>
        <v>3576</v>
      </c>
      <c r="K3430" s="50" t="s">
        <v>22</v>
      </c>
      <c r="L3430" s="49">
        <v>0</v>
      </c>
      <c r="M3430" s="49"/>
      <c r="N3430" s="49">
        <f>COUNT(S3430:CD3430)</f>
        <v>10</v>
      </c>
      <c r="O3430" s="50"/>
      <c r="P3430" s="49"/>
      <c r="Q3430" s="50">
        <v>3</v>
      </c>
      <c r="R3430" s="49"/>
      <c r="S3430" s="49">
        <v>0</v>
      </c>
      <c r="T3430" s="49">
        <f>S3430+R3422</f>
        <v>960</v>
      </c>
      <c r="U3430" s="49">
        <f>T3430</f>
        <v>960</v>
      </c>
      <c r="V3430" s="49">
        <f>U3430+R3423</f>
        <v>2640</v>
      </c>
      <c r="W3430" s="49">
        <f>V3430</f>
        <v>2640</v>
      </c>
      <c r="X3430" s="49">
        <f>W3430+R3424</f>
        <v>4040</v>
      </c>
      <c r="Y3430" s="49">
        <f>X3430</f>
        <v>4040</v>
      </c>
      <c r="Z3430" s="49">
        <f>Y3430+R3425</f>
        <v>5750</v>
      </c>
      <c r="AA3430" s="49">
        <f>Z3430</f>
        <v>5750</v>
      </c>
      <c r="AB3430" s="49">
        <f>AA3430+R3426</f>
        <v>8750</v>
      </c>
      <c r="AC3430" s="49"/>
      <c r="AD3430" s="49"/>
      <c r="AE3430" s="49"/>
      <c r="AF3430" s="49"/>
    </row>
    <row r="3431" spans="1:32">
      <c r="A3431" s="1"/>
      <c r="B3431" s="1"/>
      <c r="D3431" s="48">
        <v>4</v>
      </c>
      <c r="E3431" s="48" t="s">
        <v>15</v>
      </c>
      <c r="F3431" s="6">
        <v>2</v>
      </c>
      <c r="K3431" s="36" t="s">
        <v>455</v>
      </c>
      <c r="L3431" s="50">
        <v>-1</v>
      </c>
      <c r="O3431" s="49"/>
      <c r="P3431" s="48"/>
      <c r="Q3431" s="50">
        <v>4</v>
      </c>
      <c r="R3431" s="36" t="s">
        <v>724</v>
      </c>
      <c r="S3431" s="49">
        <v>0</v>
      </c>
      <c r="T3431" s="49">
        <f>S3422</f>
        <v>18</v>
      </c>
      <c r="U3431" s="49">
        <v>0</v>
      </c>
      <c r="V3431" s="49">
        <f>S3423</f>
        <v>14</v>
      </c>
      <c r="W3431" s="49">
        <v>0</v>
      </c>
      <c r="X3431" s="49">
        <f>S3424</f>
        <v>32</v>
      </c>
      <c r="Y3431" s="49">
        <v>0</v>
      </c>
      <c r="Z3431" s="49">
        <f>S3425</f>
        <v>45</v>
      </c>
      <c r="AA3431" s="49">
        <v>0</v>
      </c>
      <c r="AB3431" s="49">
        <f>S3426</f>
        <v>30</v>
      </c>
      <c r="AC3431" s="49"/>
      <c r="AD3431" s="49"/>
      <c r="AE3431" s="49"/>
      <c r="AF3431" s="49"/>
    </row>
    <row r="3432" spans="1:32">
      <c r="D3432" s="49">
        <f>F3432*2+4</f>
        <v>30</v>
      </c>
      <c r="E3432" s="3" t="s">
        <v>4</v>
      </c>
      <c r="F3432" s="50">
        <v>13</v>
      </c>
      <c r="G3432" s="50">
        <v>768</v>
      </c>
      <c r="H3432" s="6">
        <v>5376</v>
      </c>
      <c r="I3432" s="6">
        <v>1728</v>
      </c>
      <c r="J3432" s="6">
        <v>4656</v>
      </c>
      <c r="K3432" s="6">
        <v>1728</v>
      </c>
      <c r="L3432" s="6">
        <v>5376</v>
      </c>
      <c r="M3432" s="6">
        <v>3408</v>
      </c>
      <c r="N3432" s="6">
        <v>4816</v>
      </c>
      <c r="O3432" s="6">
        <v>3408</v>
      </c>
      <c r="P3432" s="48">
        <v>5376</v>
      </c>
      <c r="Q3432" s="49">
        <f>S3433-200</f>
        <v>4608</v>
      </c>
      <c r="R3432" s="49">
        <f>P3432+(T3433-P3432)/(S3433-O3432)*(Q3432-O3432)</f>
        <v>4278.8571428571431</v>
      </c>
      <c r="S3432" s="49">
        <f>Q3432</f>
        <v>4608</v>
      </c>
      <c r="T3432" s="49">
        <f>P3432</f>
        <v>5376</v>
      </c>
      <c r="U3432" s="48">
        <v>4808</v>
      </c>
      <c r="V3432" s="48">
        <v>5376</v>
      </c>
      <c r="W3432" s="49">
        <f>Y3433-570</f>
        <v>5948</v>
      </c>
      <c r="X3432" s="49">
        <f>V3432+(Z3433-V3432)/(Y3433-U3432)*(W3432-U3432)</f>
        <v>4176</v>
      </c>
      <c r="Y3432" s="49">
        <f>W3432</f>
        <v>5948</v>
      </c>
      <c r="Z3432" s="49">
        <f>V3432</f>
        <v>5376</v>
      </c>
      <c r="AA3432" s="48">
        <v>6518</v>
      </c>
      <c r="AB3432" s="48">
        <v>5376</v>
      </c>
      <c r="AC3432" s="49">
        <f>AE3433-300</f>
        <v>9218</v>
      </c>
      <c r="AD3432" s="49">
        <f>AB3432+(AF3433-AB3432)/(AE3433-AA3432)*(AC3432-AA3432)</f>
        <v>4836</v>
      </c>
      <c r="AE3432" s="49">
        <f>AC3432</f>
        <v>9218</v>
      </c>
      <c r="AF3432" s="49">
        <f>AB3432</f>
        <v>5376</v>
      </c>
    </row>
    <row r="3433" spans="1:32">
      <c r="A3433" s="1"/>
      <c r="B3433" s="1"/>
      <c r="D3433" s="49"/>
      <c r="E3433" s="49" t="s">
        <v>515</v>
      </c>
      <c r="F3433" s="50" t="s">
        <v>603</v>
      </c>
      <c r="G3433" s="50">
        <v>1528</v>
      </c>
      <c r="H3433" s="50">
        <v>5476</v>
      </c>
      <c r="I3433" s="50">
        <v>2841</v>
      </c>
      <c r="J3433" s="50">
        <v>4541</v>
      </c>
      <c r="K3433" s="6">
        <v>6251</v>
      </c>
      <c r="L3433" s="50">
        <v>8951</v>
      </c>
      <c r="M3433" s="50"/>
      <c r="N3433" s="50"/>
      <c r="O3433" s="50"/>
      <c r="P3433" s="49"/>
      <c r="Q3433" s="49"/>
      <c r="R3433" s="49"/>
      <c r="S3433" s="48">
        <v>4808</v>
      </c>
      <c r="T3433" s="48">
        <v>4096</v>
      </c>
      <c r="U3433" s="49"/>
      <c r="V3433" s="49"/>
      <c r="W3433" s="49"/>
      <c r="X3433" s="49"/>
      <c r="Y3433" s="48">
        <v>6518</v>
      </c>
      <c r="Z3433" s="48">
        <v>3576</v>
      </c>
      <c r="AA3433" s="49"/>
      <c r="AB3433" s="49"/>
      <c r="AC3433" s="49"/>
      <c r="AD3433" s="48"/>
      <c r="AE3433" s="48">
        <v>9518</v>
      </c>
      <c r="AF3433" s="49">
        <v>4776</v>
      </c>
    </row>
    <row r="3434" spans="1:32">
      <c r="D3434" s="49"/>
      <c r="E3434" s="48" t="s">
        <v>113</v>
      </c>
      <c r="F3434" s="6">
        <v>200</v>
      </c>
      <c r="G3434" s="50">
        <v>768</v>
      </c>
      <c r="H3434" s="50">
        <f>H3430+2048</f>
        <v>7424</v>
      </c>
      <c r="I3434" s="50">
        <f>G3434+10*T3434</f>
        <v>5768</v>
      </c>
      <c r="J3434" s="50">
        <f>H3434-4*T3435</f>
        <v>6224</v>
      </c>
      <c r="K3434" s="50" t="s">
        <v>22</v>
      </c>
      <c r="L3434" s="50">
        <v>-1</v>
      </c>
      <c r="M3434" s="49"/>
      <c r="N3434" s="49">
        <f>COUNT(S3434:CB3434)</f>
        <v>2</v>
      </c>
      <c r="O3434" s="50"/>
      <c r="P3434" s="49"/>
      <c r="Q3434" s="49">
        <v>3</v>
      </c>
      <c r="R3434" s="49"/>
      <c r="S3434" s="49">
        <v>0</v>
      </c>
      <c r="T3434" s="49">
        <v>500</v>
      </c>
      <c r="U3434" s="49"/>
      <c r="V3434" s="48"/>
      <c r="W3434" s="48"/>
      <c r="X3434" s="48"/>
      <c r="Y3434" s="48"/>
      <c r="Z3434" s="48"/>
      <c r="AA3434" s="48"/>
      <c r="AB3434" s="48"/>
      <c r="AC3434" s="48"/>
      <c r="AD3434" s="48"/>
      <c r="AE3434" s="48"/>
      <c r="AF3434" s="48"/>
    </row>
    <row r="3435" spans="1:32">
      <c r="D3435" s="49">
        <f>ROUNDUP(6+F3435/2,0)</f>
        <v>11</v>
      </c>
      <c r="E3435" s="49" t="s">
        <v>6</v>
      </c>
      <c r="F3435" s="50">
        <f>LEN(G3435)</f>
        <v>10</v>
      </c>
      <c r="G3435" s="43" t="s">
        <v>458</v>
      </c>
      <c r="H3435" s="6">
        <v>3176</v>
      </c>
      <c r="I3435" s="6">
        <f>256*30</f>
        <v>7680</v>
      </c>
      <c r="K3435" s="36" t="s">
        <v>457</v>
      </c>
      <c r="L3435" s="50">
        <v>-1</v>
      </c>
      <c r="O3435" s="36"/>
      <c r="P3435" s="48"/>
      <c r="Q3435" s="50">
        <v>2</v>
      </c>
      <c r="R3435" s="49"/>
      <c r="S3435" s="49">
        <v>0</v>
      </c>
      <c r="T3435" s="49">
        <v>300</v>
      </c>
      <c r="U3435" s="48"/>
      <c r="V3435" s="48"/>
      <c r="W3435" s="48"/>
      <c r="X3435" s="48"/>
      <c r="Y3435" s="48"/>
      <c r="Z3435" s="48"/>
      <c r="AA3435" s="48"/>
      <c r="AB3435" s="48"/>
      <c r="AC3435" s="48"/>
      <c r="AD3435" s="48"/>
      <c r="AE3435" s="48"/>
      <c r="AF3435" s="48"/>
    </row>
    <row r="3436" spans="1:32">
      <c r="A3436" s="2"/>
      <c r="B3436" s="2"/>
      <c r="C3436" s="2"/>
      <c r="D3436" s="49">
        <f>ROUNDUP(6+F3436/2,0)</f>
        <v>12</v>
      </c>
      <c r="E3436" s="49" t="s">
        <v>6</v>
      </c>
      <c r="F3436" s="50">
        <f>LEN(G3436)</f>
        <v>12</v>
      </c>
      <c r="G3436" s="43" t="s">
        <v>459</v>
      </c>
      <c r="H3436" s="50">
        <f>H3435+384</f>
        <v>3560</v>
      </c>
      <c r="I3436" s="50">
        <f>I3435</f>
        <v>7680</v>
      </c>
      <c r="M3436" s="50"/>
      <c r="N3436" s="50"/>
      <c r="O3436" s="50"/>
      <c r="P3436" s="49"/>
      <c r="Q3436" s="49"/>
      <c r="R3436" s="49"/>
      <c r="S3436" s="48"/>
      <c r="T3436" s="48"/>
      <c r="U3436" s="48"/>
      <c r="V3436" s="48"/>
      <c r="W3436" s="48"/>
      <c r="X3436" s="48"/>
      <c r="Y3436" s="48"/>
      <c r="Z3436" s="48"/>
      <c r="AA3436" s="48"/>
      <c r="AB3436" s="48"/>
      <c r="AC3436" s="48"/>
      <c r="AD3436" s="48"/>
      <c r="AE3436" s="48"/>
      <c r="AF3436" s="48"/>
    </row>
    <row r="3437" spans="1:32">
      <c r="D3437" s="49">
        <f>ROUNDUP(6+F3437/2,0)</f>
        <v>8</v>
      </c>
      <c r="E3437" s="49" t="s">
        <v>6</v>
      </c>
      <c r="F3437" s="50">
        <f>LEN(G3437)</f>
        <v>4</v>
      </c>
      <c r="G3437" s="43" t="s">
        <v>460</v>
      </c>
      <c r="H3437" s="50">
        <f>H3436+384</f>
        <v>3944</v>
      </c>
      <c r="I3437" s="6">
        <f>256*40</f>
        <v>10240</v>
      </c>
      <c r="L3437" s="50"/>
      <c r="M3437" s="50"/>
      <c r="P3437" s="48"/>
      <c r="Q3437" s="48"/>
      <c r="R3437" s="48"/>
      <c r="S3437" s="48"/>
      <c r="T3437" s="48"/>
      <c r="U3437" s="48"/>
      <c r="V3437" s="48"/>
      <c r="W3437" s="48"/>
      <c r="X3437" s="48"/>
      <c r="Y3437" s="48"/>
      <c r="Z3437" s="48"/>
      <c r="AA3437" s="48"/>
      <c r="AB3437" s="48"/>
      <c r="AC3437" s="48"/>
      <c r="AD3437" s="48"/>
      <c r="AE3437" s="48"/>
      <c r="AF3437" s="48"/>
    </row>
    <row r="3438" spans="1:32">
      <c r="D3438" s="49">
        <f>ROUNDUP(6+F3438/2,0)</f>
        <v>11</v>
      </c>
      <c r="E3438" s="49" t="s">
        <v>6</v>
      </c>
      <c r="F3438" s="50">
        <f>LEN(G3438)</f>
        <v>9</v>
      </c>
      <c r="G3438" s="43" t="s">
        <v>461</v>
      </c>
      <c r="H3438" s="50">
        <f>H3437+384</f>
        <v>4328</v>
      </c>
      <c r="I3438" s="50">
        <f>I3437</f>
        <v>10240</v>
      </c>
      <c r="P3438" s="48"/>
      <c r="Q3438" s="48"/>
      <c r="R3438" s="48"/>
      <c r="S3438" s="48"/>
      <c r="T3438" s="48"/>
      <c r="U3438" s="48"/>
      <c r="V3438" s="48"/>
      <c r="W3438" s="48"/>
      <c r="X3438" s="48"/>
      <c r="Y3438" s="48"/>
      <c r="Z3438" s="48"/>
      <c r="AA3438" s="48"/>
      <c r="AB3438" s="48"/>
      <c r="AC3438" s="48"/>
      <c r="AD3438" s="48"/>
      <c r="AE3438" s="48"/>
      <c r="AF3438" s="48"/>
    </row>
    <row r="3439" spans="1:32">
      <c r="D3439" s="49">
        <f>F3439*2+4</f>
        <v>10</v>
      </c>
      <c r="E3439" s="49" t="s">
        <v>1</v>
      </c>
      <c r="F3439" s="50">
        <v>3</v>
      </c>
      <c r="G3439" s="50">
        <f>I3435-50</f>
        <v>7630</v>
      </c>
      <c r="H3439" s="50">
        <f>H3435+128</f>
        <v>3304</v>
      </c>
      <c r="I3439" s="50">
        <f>G3439-200</f>
        <v>7430</v>
      </c>
      <c r="J3439" s="50">
        <f>H3439</f>
        <v>3304</v>
      </c>
      <c r="K3439" s="50">
        <v>4708</v>
      </c>
      <c r="L3439" s="50">
        <v>4800</v>
      </c>
      <c r="M3439" s="50"/>
      <c r="N3439" s="50"/>
      <c r="O3439" s="50"/>
      <c r="P3439" s="49"/>
      <c r="Q3439" s="49"/>
      <c r="R3439" s="49"/>
      <c r="S3439" s="49"/>
      <c r="T3439" s="49"/>
      <c r="U3439" s="49"/>
      <c r="V3439" s="49"/>
      <c r="W3439" s="49"/>
      <c r="X3439" s="49"/>
      <c r="Y3439" s="49"/>
      <c r="Z3439" s="49"/>
      <c r="AA3439" s="49"/>
      <c r="AB3439" s="49"/>
      <c r="AC3439" s="49"/>
      <c r="AD3439" s="49"/>
      <c r="AE3439" s="49"/>
      <c r="AF3439" s="49"/>
    </row>
    <row r="3440" spans="1:32">
      <c r="D3440" s="49">
        <f>F3440*2+4</f>
        <v>10</v>
      </c>
      <c r="E3440" s="49" t="s">
        <v>1</v>
      </c>
      <c r="F3440" s="50">
        <v>3</v>
      </c>
      <c r="G3440" s="50">
        <f>I3436-50</f>
        <v>7630</v>
      </c>
      <c r="H3440" s="50">
        <f>H3436+128</f>
        <v>3688</v>
      </c>
      <c r="I3440" s="50">
        <f>G3440-200</f>
        <v>7430</v>
      </c>
      <c r="J3440" s="50">
        <f>H3440</f>
        <v>3688</v>
      </c>
      <c r="K3440" s="50">
        <v>6233</v>
      </c>
      <c r="L3440" s="50">
        <v>4800</v>
      </c>
      <c r="M3440" s="50"/>
      <c r="N3440" s="50"/>
      <c r="O3440" s="50"/>
      <c r="P3440" s="49"/>
      <c r="Q3440" s="49"/>
      <c r="R3440" s="49"/>
      <c r="S3440" s="49"/>
      <c r="T3440" s="49"/>
      <c r="U3440" s="49"/>
      <c r="V3440" s="49"/>
      <c r="W3440" s="49"/>
      <c r="X3440" s="49"/>
      <c r="Y3440" s="49"/>
      <c r="Z3440" s="49"/>
      <c r="AA3440" s="49"/>
      <c r="AB3440" s="49"/>
      <c r="AC3440" s="49"/>
      <c r="AD3440" s="49"/>
      <c r="AE3440" s="49"/>
      <c r="AF3440" s="49"/>
    </row>
    <row r="3441" spans="1:32">
      <c r="D3441" s="49">
        <f>F3441*2+4</f>
        <v>10</v>
      </c>
      <c r="E3441" s="49" t="s">
        <v>1</v>
      </c>
      <c r="F3441" s="50">
        <v>3</v>
      </c>
      <c r="G3441" s="50">
        <f>I3437-50</f>
        <v>10190</v>
      </c>
      <c r="H3441" s="50">
        <f>H3437+128</f>
        <v>4072</v>
      </c>
      <c r="I3441" s="50">
        <f>G3441-200</f>
        <v>9990</v>
      </c>
      <c r="J3441" s="50">
        <f>H3441</f>
        <v>4072</v>
      </c>
      <c r="K3441" s="50">
        <v>8500</v>
      </c>
      <c r="L3441" s="50">
        <v>4800</v>
      </c>
      <c r="M3441" s="50"/>
      <c r="N3441" s="50"/>
      <c r="O3441" s="50"/>
      <c r="P3441" s="49"/>
      <c r="Q3441" s="49"/>
      <c r="R3441" s="49"/>
      <c r="S3441" s="49"/>
      <c r="T3441" s="49"/>
      <c r="U3441" s="49"/>
      <c r="V3441" s="49"/>
      <c r="W3441" s="49"/>
      <c r="X3441" s="48"/>
      <c r="Y3441" s="48"/>
      <c r="Z3441" s="48"/>
      <c r="AA3441" s="48"/>
      <c r="AB3441" s="49"/>
      <c r="AC3441" s="49"/>
      <c r="AD3441" s="49"/>
      <c r="AE3441" s="49"/>
      <c r="AF3441" s="49"/>
    </row>
    <row r="3442" spans="1:32">
      <c r="D3442" s="49">
        <f>F3442*2+4</f>
        <v>10</v>
      </c>
      <c r="E3442" s="49" t="s">
        <v>1</v>
      </c>
      <c r="F3442" s="50">
        <v>3</v>
      </c>
      <c r="G3442" s="50">
        <f>I3438-50</f>
        <v>10190</v>
      </c>
      <c r="H3442" s="50">
        <f>H3438+128</f>
        <v>4456</v>
      </c>
      <c r="I3442" s="50">
        <f>G3442-200</f>
        <v>9990</v>
      </c>
      <c r="J3442" s="50">
        <f>H3442</f>
        <v>4456</v>
      </c>
      <c r="K3442" s="50">
        <v>9368</v>
      </c>
      <c r="L3442" s="50">
        <v>5000</v>
      </c>
      <c r="P3442" s="48"/>
      <c r="Q3442" s="49"/>
      <c r="R3442" s="49"/>
      <c r="S3442" s="49"/>
      <c r="T3442" s="49"/>
      <c r="U3442" s="49"/>
      <c r="V3442" s="49"/>
      <c r="W3442" s="49"/>
      <c r="X3442" s="49"/>
      <c r="Y3442" s="49"/>
      <c r="Z3442" s="49"/>
      <c r="AA3442" s="49"/>
      <c r="AB3442" s="49"/>
      <c r="AC3442" s="49"/>
      <c r="AD3442" s="49"/>
      <c r="AE3442" s="49"/>
      <c r="AF3442" s="49"/>
    </row>
    <row r="3443" spans="1:32">
      <c r="D3443" s="48">
        <v>8</v>
      </c>
      <c r="E3443" s="48" t="s">
        <v>1</v>
      </c>
      <c r="F3443" s="50">
        <v>2</v>
      </c>
      <c r="G3443" s="50">
        <v>5468</v>
      </c>
      <c r="H3443" s="6">
        <v>6296</v>
      </c>
      <c r="I3443" s="6">
        <v>5468</v>
      </c>
      <c r="J3443" s="6">
        <v>7524</v>
      </c>
      <c r="K3443" s="50"/>
      <c r="L3443" s="50"/>
      <c r="P3443" s="48"/>
      <c r="Q3443" s="48"/>
      <c r="R3443" s="48"/>
      <c r="S3443" s="48"/>
      <c r="T3443" s="48"/>
      <c r="U3443" s="48"/>
      <c r="V3443" s="48"/>
      <c r="W3443" s="48"/>
      <c r="X3443" s="48"/>
      <c r="Y3443" s="48"/>
      <c r="Z3443" s="48"/>
      <c r="AA3443" s="48"/>
      <c r="AB3443" s="48"/>
      <c r="AC3443" s="48"/>
      <c r="AD3443" s="48"/>
      <c r="AE3443" s="48"/>
      <c r="AF3443" s="48"/>
    </row>
    <row r="3444" spans="1:32">
      <c r="A3444" s="2"/>
      <c r="B3444" s="2"/>
      <c r="C3444" s="2"/>
      <c r="D3444" s="48"/>
      <c r="E3444" s="48" t="s">
        <v>515</v>
      </c>
      <c r="F3444" s="50" t="s">
        <v>604</v>
      </c>
      <c r="G3444" s="6">
        <v>4838</v>
      </c>
      <c r="H3444" s="6">
        <v>7524</v>
      </c>
      <c r="I3444" s="6">
        <v>4138</v>
      </c>
      <c r="J3444" s="6">
        <v>3218</v>
      </c>
      <c r="K3444" s="6">
        <v>1605</v>
      </c>
      <c r="L3444" s="50"/>
      <c r="P3444" s="48"/>
      <c r="Q3444" s="48"/>
      <c r="R3444" s="48"/>
      <c r="S3444" s="48"/>
      <c r="T3444" s="48"/>
      <c r="U3444" s="48"/>
      <c r="V3444" s="48"/>
      <c r="W3444" s="48"/>
      <c r="X3444" s="48"/>
      <c r="Y3444" s="48"/>
      <c r="Z3444" s="48"/>
      <c r="AA3444" s="48"/>
      <c r="AB3444" s="48"/>
      <c r="AC3444" s="48"/>
      <c r="AD3444" s="48"/>
      <c r="AE3444" s="48"/>
      <c r="AF3444" s="48"/>
    </row>
    <row r="3445" spans="1:32">
      <c r="A3445" s="2"/>
      <c r="B3445" s="2"/>
      <c r="C3445" s="2"/>
      <c r="D3445" s="48">
        <v>8</v>
      </c>
      <c r="E3445" s="48" t="s">
        <v>1</v>
      </c>
      <c r="F3445" s="50">
        <v>2</v>
      </c>
      <c r="G3445" s="50">
        <v>5038</v>
      </c>
      <c r="H3445" s="6">
        <v>6400</v>
      </c>
      <c r="I3445" s="6">
        <v>5038</v>
      </c>
      <c r="J3445" s="6">
        <v>7524</v>
      </c>
      <c r="K3445" s="50"/>
      <c r="L3445" s="50"/>
      <c r="P3445" s="48"/>
      <c r="Q3445" s="48"/>
      <c r="R3445" s="48"/>
      <c r="S3445" s="48"/>
      <c r="T3445" s="48"/>
      <c r="U3445" s="48"/>
      <c r="V3445" s="48"/>
      <c r="W3445" s="48"/>
      <c r="X3445" s="48"/>
      <c r="Y3445" s="48"/>
      <c r="Z3445" s="48"/>
      <c r="AA3445" s="48"/>
      <c r="AB3445" s="48"/>
      <c r="AC3445" s="48"/>
      <c r="AD3445" s="48"/>
      <c r="AE3445" s="48"/>
      <c r="AF3445" s="48"/>
    </row>
    <row r="3446" spans="1:32">
      <c r="A3446" s="2"/>
      <c r="B3446" s="2"/>
      <c r="C3446" s="2"/>
      <c r="D3446" s="48">
        <v>8</v>
      </c>
      <c r="E3446" s="48" t="s">
        <v>1</v>
      </c>
      <c r="F3446" s="50">
        <v>2</v>
      </c>
      <c r="G3446" s="50">
        <v>4338</v>
      </c>
      <c r="H3446" s="6">
        <v>6568</v>
      </c>
      <c r="I3446" s="6">
        <v>4338</v>
      </c>
      <c r="J3446" s="6">
        <v>7524</v>
      </c>
      <c r="K3446" s="50"/>
      <c r="L3446" s="50"/>
      <c r="P3446" s="48"/>
      <c r="Q3446" s="48"/>
      <c r="R3446" s="48"/>
      <c r="S3446" s="48"/>
      <c r="T3446" s="48"/>
      <c r="U3446" s="48"/>
      <c r="V3446" s="48"/>
      <c r="W3446" s="48"/>
      <c r="X3446" s="48"/>
      <c r="Y3446" s="48"/>
      <c r="Z3446" s="48"/>
      <c r="AA3446" s="48"/>
      <c r="AB3446" s="48"/>
      <c r="AC3446" s="48"/>
      <c r="AD3446" s="48"/>
      <c r="AE3446" s="48"/>
      <c r="AF3446" s="48"/>
    </row>
    <row r="3447" spans="1:32">
      <c r="A3447" s="2"/>
      <c r="B3447" s="2"/>
      <c r="C3447" s="2"/>
      <c r="D3447" s="48">
        <v>8</v>
      </c>
      <c r="E3447" s="48" t="s">
        <v>1</v>
      </c>
      <c r="F3447" s="50">
        <v>2</v>
      </c>
      <c r="G3447" s="50">
        <v>3418</v>
      </c>
      <c r="H3447" s="6">
        <v>6788</v>
      </c>
      <c r="I3447" s="6">
        <v>3418</v>
      </c>
      <c r="J3447" s="6">
        <v>7524</v>
      </c>
      <c r="K3447" s="50"/>
      <c r="L3447" s="50"/>
      <c r="P3447" s="48"/>
      <c r="Q3447" s="48"/>
      <c r="R3447" s="48"/>
      <c r="S3447" s="48"/>
      <c r="T3447" s="48"/>
      <c r="U3447" s="48"/>
      <c r="V3447" s="48"/>
      <c r="W3447" s="48"/>
      <c r="X3447" s="48"/>
      <c r="Y3447" s="48"/>
      <c r="Z3447" s="48"/>
      <c r="AA3447" s="48"/>
      <c r="AB3447" s="48"/>
      <c r="AC3447" s="48"/>
      <c r="AD3447" s="48"/>
      <c r="AE3447" s="48"/>
      <c r="AF3447" s="48"/>
    </row>
    <row r="3448" spans="1:32">
      <c r="A3448" s="2"/>
      <c r="B3448" s="2"/>
      <c r="C3448" s="2"/>
      <c r="D3448" s="48">
        <v>8</v>
      </c>
      <c r="E3448" s="48" t="s">
        <v>1</v>
      </c>
      <c r="F3448" s="50">
        <v>2</v>
      </c>
      <c r="G3448" s="50">
        <v>1738</v>
      </c>
      <c r="H3448" s="6">
        <v>7192</v>
      </c>
      <c r="I3448" s="6">
        <v>1738</v>
      </c>
      <c r="J3448" s="6">
        <v>7524</v>
      </c>
      <c r="K3448" s="50"/>
      <c r="L3448" s="50"/>
      <c r="P3448" s="48"/>
      <c r="Q3448" s="48"/>
      <c r="R3448" s="48"/>
      <c r="S3448" s="48"/>
      <c r="T3448" s="48"/>
      <c r="U3448" s="48"/>
      <c r="V3448" s="48"/>
      <c r="W3448" s="48"/>
      <c r="X3448" s="48"/>
      <c r="Y3448" s="48"/>
      <c r="Z3448" s="48"/>
      <c r="AA3448" s="48"/>
      <c r="AB3448" s="48"/>
      <c r="AC3448" s="48"/>
      <c r="AD3448" s="48"/>
      <c r="AE3448" s="48"/>
      <c r="AF3448" s="48"/>
    </row>
    <row r="3449" spans="1:32">
      <c r="A3449" s="2"/>
      <c r="B3449" s="2"/>
      <c r="C3449" s="2"/>
      <c r="D3449" s="48">
        <v>8</v>
      </c>
      <c r="E3449" s="48" t="s">
        <v>1</v>
      </c>
      <c r="F3449" s="50">
        <v>2</v>
      </c>
      <c r="G3449" s="50">
        <v>668</v>
      </c>
      <c r="H3449" s="6">
        <v>6296</v>
      </c>
      <c r="I3449" s="6">
        <v>868</v>
      </c>
      <c r="J3449" s="6">
        <v>6296</v>
      </c>
      <c r="K3449" s="50"/>
      <c r="L3449" s="50"/>
      <c r="P3449" s="48"/>
      <c r="Q3449" s="48"/>
      <c r="R3449" s="48"/>
      <c r="S3449" s="48"/>
      <c r="T3449" s="48"/>
      <c r="U3449" s="48"/>
      <c r="V3449" s="48"/>
      <c r="W3449" s="48"/>
      <c r="X3449" s="48"/>
      <c r="Y3449" s="48"/>
      <c r="Z3449" s="48"/>
      <c r="AA3449" s="48"/>
      <c r="AB3449" s="48"/>
      <c r="AC3449" s="48"/>
      <c r="AD3449" s="48"/>
      <c r="AE3449" s="48"/>
      <c r="AF3449" s="48"/>
    </row>
    <row r="3450" spans="1:32">
      <c r="A3450" s="2"/>
      <c r="B3450" s="2"/>
      <c r="C3450" s="2"/>
      <c r="D3450" s="48">
        <v>8</v>
      </c>
      <c r="E3450" s="48" t="s">
        <v>1</v>
      </c>
      <c r="F3450" s="50">
        <v>2</v>
      </c>
      <c r="G3450" s="50">
        <v>668</v>
      </c>
      <c r="H3450" s="6">
        <v>6400</v>
      </c>
      <c r="I3450" s="6">
        <v>868</v>
      </c>
      <c r="J3450" s="6">
        <v>6400</v>
      </c>
      <c r="K3450" s="50"/>
      <c r="L3450" s="50"/>
      <c r="P3450" s="48"/>
      <c r="Q3450" s="48"/>
      <c r="R3450" s="48"/>
      <c r="S3450" s="48"/>
      <c r="T3450" s="48"/>
      <c r="U3450" s="48"/>
      <c r="V3450" s="48"/>
      <c r="W3450" s="48"/>
      <c r="X3450" s="48"/>
      <c r="Y3450" s="48"/>
      <c r="Z3450" s="48"/>
      <c r="AA3450" s="48"/>
      <c r="AB3450" s="48"/>
      <c r="AC3450" s="48"/>
      <c r="AD3450" s="48"/>
      <c r="AE3450" s="48"/>
      <c r="AF3450" s="48"/>
    </row>
    <row r="3451" spans="1:32">
      <c r="A3451" s="2"/>
      <c r="B3451" s="2"/>
      <c r="C3451" s="2"/>
      <c r="D3451" s="48">
        <v>8</v>
      </c>
      <c r="E3451" s="48" t="s">
        <v>1</v>
      </c>
      <c r="F3451" s="50">
        <v>2</v>
      </c>
      <c r="G3451" s="50">
        <v>668</v>
      </c>
      <c r="H3451" s="6">
        <v>6568</v>
      </c>
      <c r="I3451" s="6">
        <v>868</v>
      </c>
      <c r="J3451" s="6">
        <v>6568</v>
      </c>
      <c r="K3451" s="50"/>
      <c r="L3451" s="50"/>
      <c r="P3451" s="48"/>
      <c r="Q3451" s="48"/>
      <c r="R3451" s="48"/>
      <c r="S3451" s="48"/>
      <c r="T3451" s="48"/>
      <c r="U3451" s="48"/>
      <c r="V3451" s="48"/>
      <c r="W3451" s="48"/>
      <c r="X3451" s="48"/>
      <c r="Y3451" s="48"/>
      <c r="Z3451" s="48"/>
      <c r="AA3451" s="48"/>
      <c r="AB3451" s="48"/>
      <c r="AC3451" s="48"/>
      <c r="AD3451" s="48"/>
      <c r="AE3451" s="48"/>
      <c r="AF3451" s="48"/>
    </row>
    <row r="3452" spans="1:32">
      <c r="A3452" s="2"/>
      <c r="B3452" s="2"/>
      <c r="C3452" s="2"/>
      <c r="D3452" s="48"/>
      <c r="E3452" s="48" t="s">
        <v>517</v>
      </c>
      <c r="F3452" s="50" t="s">
        <v>605</v>
      </c>
      <c r="G3452" s="6">
        <v>188</v>
      </c>
      <c r="H3452" s="6">
        <v>6368</v>
      </c>
      <c r="I3452" s="6">
        <v>6638</v>
      </c>
      <c r="J3452" s="6">
        <v>7042</v>
      </c>
      <c r="L3452" s="50"/>
      <c r="P3452" s="48"/>
      <c r="Q3452" s="48"/>
      <c r="R3452" s="48"/>
      <c r="S3452" s="48"/>
      <c r="T3452" s="48"/>
      <c r="U3452" s="48"/>
      <c r="V3452" s="48"/>
      <c r="W3452" s="48"/>
      <c r="X3452" s="48"/>
      <c r="Y3452" s="48"/>
      <c r="Z3452" s="48"/>
      <c r="AA3452" s="48"/>
      <c r="AB3452" s="48"/>
      <c r="AC3452" s="48"/>
      <c r="AD3452" s="48"/>
      <c r="AE3452" s="48"/>
      <c r="AF3452" s="48"/>
    </row>
    <row r="3453" spans="1:32">
      <c r="A3453" s="2"/>
      <c r="B3453" s="2"/>
      <c r="C3453" s="2"/>
      <c r="D3453" s="48">
        <v>8</v>
      </c>
      <c r="E3453" s="48" t="s">
        <v>1</v>
      </c>
      <c r="F3453" s="50">
        <v>2</v>
      </c>
      <c r="G3453" s="50">
        <v>668</v>
      </c>
      <c r="H3453" s="6">
        <v>6788</v>
      </c>
      <c r="I3453" s="6">
        <v>868</v>
      </c>
      <c r="J3453" s="6">
        <v>6788</v>
      </c>
      <c r="K3453" s="50"/>
      <c r="L3453" s="50"/>
      <c r="P3453" s="48"/>
      <c r="Q3453" s="48"/>
      <c r="R3453" s="48"/>
      <c r="S3453" s="48"/>
      <c r="T3453" s="48"/>
      <c r="U3453" s="48"/>
      <c r="V3453" s="48"/>
      <c r="W3453" s="48"/>
      <c r="X3453" s="48"/>
      <c r="Y3453" s="48"/>
      <c r="Z3453" s="48"/>
      <c r="AA3453" s="48"/>
      <c r="AB3453" s="48"/>
      <c r="AC3453" s="48"/>
      <c r="AD3453" s="48"/>
      <c r="AE3453" s="48"/>
      <c r="AF3453" s="48"/>
    </row>
    <row r="3454" spans="1:32">
      <c r="A3454" s="2"/>
      <c r="B3454" s="2"/>
      <c r="C3454" s="2"/>
      <c r="D3454" s="48">
        <v>8</v>
      </c>
      <c r="E3454" s="48" t="s">
        <v>1</v>
      </c>
      <c r="F3454" s="50">
        <v>2</v>
      </c>
      <c r="G3454" s="50">
        <v>668</v>
      </c>
      <c r="H3454" s="6">
        <v>7192</v>
      </c>
      <c r="I3454" s="6">
        <v>868</v>
      </c>
      <c r="J3454" s="6">
        <v>7192</v>
      </c>
      <c r="K3454" s="25"/>
      <c r="L3454" s="36"/>
      <c r="P3454" s="48"/>
      <c r="Q3454" s="48"/>
      <c r="R3454" s="48"/>
      <c r="S3454" s="48"/>
      <c r="T3454" s="48"/>
      <c r="U3454" s="48"/>
      <c r="V3454" s="48"/>
      <c r="W3454" s="48"/>
      <c r="X3454" s="48"/>
      <c r="Y3454" s="48"/>
      <c r="Z3454" s="48"/>
      <c r="AA3454" s="48"/>
      <c r="AB3454" s="48"/>
      <c r="AC3454" s="48"/>
      <c r="AD3454" s="48"/>
      <c r="AE3454" s="48"/>
      <c r="AF3454" s="48"/>
    </row>
    <row r="3455" spans="1:32">
      <c r="A3455" s="2"/>
      <c r="B3455" s="2"/>
      <c r="C3455" s="2"/>
      <c r="D3455" s="48">
        <v>8</v>
      </c>
      <c r="E3455" s="48" t="s">
        <v>1</v>
      </c>
      <c r="F3455" s="50">
        <v>2</v>
      </c>
      <c r="G3455" s="50">
        <v>668</v>
      </c>
      <c r="H3455" s="6">
        <v>6224</v>
      </c>
      <c r="I3455" s="6">
        <v>868</v>
      </c>
      <c r="J3455" s="6">
        <v>6224</v>
      </c>
      <c r="P3455" s="48"/>
      <c r="Q3455" s="48"/>
      <c r="R3455" s="48"/>
      <c r="S3455" s="48"/>
      <c r="T3455" s="48"/>
      <c r="U3455" s="48"/>
      <c r="V3455" s="48"/>
      <c r="W3455" s="48"/>
      <c r="X3455" s="48"/>
      <c r="Y3455" s="48"/>
      <c r="Z3455" s="48"/>
      <c r="AA3455" s="48"/>
      <c r="AB3455" s="48"/>
      <c r="AC3455" s="48"/>
      <c r="AD3455" s="48"/>
      <c r="AE3455" s="48"/>
      <c r="AF3455" s="48"/>
    </row>
    <row r="3459" spans="1:15">
      <c r="A3459" s="48" t="s">
        <v>383</v>
      </c>
      <c r="B3459" s="1" t="s">
        <v>782</v>
      </c>
      <c r="D3459" t="s">
        <v>449</v>
      </c>
      <c r="E3459">
        <v>52695</v>
      </c>
      <c r="F3459" s="6">
        <v>39622</v>
      </c>
      <c r="G3459" s="6">
        <v>0</v>
      </c>
      <c r="H3459" s="6">
        <v>0</v>
      </c>
      <c r="I3459" s="6">
        <v>0</v>
      </c>
      <c r="J3459" s="6">
        <v>14500</v>
      </c>
      <c r="K3459" s="6">
        <v>3500</v>
      </c>
      <c r="L3459" s="6">
        <v>2400</v>
      </c>
      <c r="M3459" s="6">
        <v>0</v>
      </c>
      <c r="N3459" s="6">
        <v>0</v>
      </c>
      <c r="O3459" s="6" t="e">
        <f ca="1">checksummeint(G3459,H3459,I3459,J3459,K3459,L3459,M3459,N3459)</f>
        <v>#NAME?</v>
      </c>
    </row>
    <row r="3460" spans="1:15">
      <c r="A3460" s="1" t="s">
        <v>467</v>
      </c>
      <c r="C3460" s="48"/>
      <c r="D3460">
        <v>28</v>
      </c>
      <c r="E3460" t="s">
        <v>12</v>
      </c>
      <c r="F3460" s="6">
        <v>450</v>
      </c>
      <c r="G3460" s="6">
        <v>0</v>
      </c>
      <c r="H3460" s="6">
        <v>0</v>
      </c>
      <c r="I3460" s="6">
        <v>0</v>
      </c>
      <c r="J3460" s="6">
        <v>400</v>
      </c>
      <c r="K3460" s="6">
        <v>0</v>
      </c>
      <c r="L3460" s="6">
        <v>0</v>
      </c>
      <c r="M3460" s="6">
        <v>0</v>
      </c>
      <c r="N3460" s="6">
        <v>0</v>
      </c>
      <c r="O3460" s="6" t="s">
        <v>19</v>
      </c>
    </row>
    <row r="3461" spans="1:15">
      <c r="C3461" s="48"/>
      <c r="D3461">
        <v>8</v>
      </c>
      <c r="E3461" t="s">
        <v>14</v>
      </c>
      <c r="F3461" s="6">
        <v>0</v>
      </c>
      <c r="G3461" s="6">
        <v>20</v>
      </c>
      <c r="H3461" s="6">
        <v>0</v>
      </c>
      <c r="I3461" s="6">
        <v>0</v>
      </c>
      <c r="J3461" s="6">
        <v>0</v>
      </c>
      <c r="M3461" s="44"/>
    </row>
    <row r="3462" spans="1:15">
      <c r="C3462" s="48"/>
      <c r="D3462">
        <v>7</v>
      </c>
      <c r="E3462" t="s">
        <v>11</v>
      </c>
      <c r="F3462" s="6">
        <v>0</v>
      </c>
      <c r="G3462" s="24">
        <v>0</v>
      </c>
      <c r="H3462" s="24">
        <v>0</v>
      </c>
      <c r="I3462" s="6">
        <v>0</v>
      </c>
    </row>
    <row r="3463" spans="1:15">
      <c r="C3463" s="48"/>
      <c r="D3463">
        <v>7</v>
      </c>
      <c r="E3463" t="s">
        <v>11</v>
      </c>
      <c r="F3463" s="6">
        <v>0</v>
      </c>
      <c r="G3463" s="24">
        <v>-64</v>
      </c>
      <c r="H3463" s="24">
        <v>192</v>
      </c>
      <c r="I3463" s="6">
        <v>0</v>
      </c>
      <c r="N3463" s="24"/>
    </row>
    <row r="3464" spans="1:15">
      <c r="C3464" s="48"/>
      <c r="D3464">
        <v>7</v>
      </c>
      <c r="E3464" t="s">
        <v>11</v>
      </c>
      <c r="F3464" s="6">
        <v>0</v>
      </c>
      <c r="G3464" s="6">
        <v>255</v>
      </c>
      <c r="H3464" s="6">
        <v>0</v>
      </c>
      <c r="I3464" s="6">
        <v>0</v>
      </c>
      <c r="N3464" s="24"/>
    </row>
    <row r="3465" spans="1:15">
      <c r="A3465" s="1"/>
      <c r="B3465" s="1"/>
      <c r="C3465" s="48"/>
      <c r="D3465">
        <v>7</v>
      </c>
      <c r="E3465" t="s">
        <v>11</v>
      </c>
      <c r="F3465" s="6">
        <v>0</v>
      </c>
      <c r="G3465" s="6">
        <v>-256</v>
      </c>
      <c r="H3465" s="6">
        <v>0</v>
      </c>
      <c r="I3465" s="6">
        <v>0</v>
      </c>
    </row>
    <row r="3466" spans="1:15">
      <c r="A3466" s="1"/>
      <c r="B3466" s="1"/>
      <c r="D3466">
        <v>5</v>
      </c>
      <c r="E3466" t="s">
        <v>59</v>
      </c>
      <c r="F3466" s="6">
        <v>1</v>
      </c>
      <c r="G3466" s="6">
        <v>0</v>
      </c>
    </row>
    <row r="3467" spans="1:15">
      <c r="A3467" s="1"/>
      <c r="B3467" s="1"/>
      <c r="D3467">
        <v>4</v>
      </c>
      <c r="E3467" t="s">
        <v>15</v>
      </c>
      <c r="F3467" s="6">
        <v>0</v>
      </c>
      <c r="N3467" s="31"/>
    </row>
    <row r="3468" spans="1:15">
      <c r="A3468" s="1"/>
      <c r="B3468" s="1"/>
      <c r="D3468">
        <v>4</v>
      </c>
      <c r="E3468" t="s">
        <v>15</v>
      </c>
      <c r="F3468" s="6">
        <v>1</v>
      </c>
      <c r="G3468" s="24"/>
    </row>
    <row r="3469" spans="1:15">
      <c r="A3469" s="2"/>
      <c r="B3469" s="2"/>
      <c r="D3469">
        <v>4</v>
      </c>
      <c r="E3469" t="s">
        <v>15</v>
      </c>
      <c r="F3469" s="6">
        <v>2</v>
      </c>
      <c r="G3469" s="24"/>
      <c r="H3469" s="24"/>
      <c r="I3469" s="24"/>
      <c r="J3469" s="24"/>
      <c r="K3469" s="24"/>
      <c r="L3469" s="36"/>
      <c r="M3469" s="24"/>
      <c r="N3469" s="24"/>
      <c r="O3469" s="24"/>
    </row>
    <row r="3470" spans="1:15">
      <c r="A3470" s="1" t="s">
        <v>2</v>
      </c>
      <c r="B3470" s="1" t="s">
        <v>3</v>
      </c>
      <c r="D3470" s="2">
        <v>18</v>
      </c>
      <c r="E3470" s="2" t="s">
        <v>111</v>
      </c>
      <c r="F3470" s="24">
        <v>250</v>
      </c>
      <c r="G3470" s="24">
        <f>A3471-100</f>
        <v>200</v>
      </c>
      <c r="H3470" s="24">
        <f>B3471</f>
        <v>3200</v>
      </c>
      <c r="I3470" s="24">
        <f>G3470+6000</f>
        <v>6200</v>
      </c>
      <c r="J3470" s="24">
        <f>H3470</f>
        <v>3200</v>
      </c>
      <c r="K3470" s="24"/>
      <c r="L3470" s="24"/>
      <c r="O3470" s="36"/>
    </row>
    <row r="3471" spans="1:15">
      <c r="A3471" s="1">
        <v>300</v>
      </c>
      <c r="B3471" s="1">
        <v>3200</v>
      </c>
      <c r="D3471" s="2">
        <v>18</v>
      </c>
      <c r="E3471" s="2" t="s">
        <v>111</v>
      </c>
      <c r="F3471" s="24">
        <v>250</v>
      </c>
      <c r="G3471" s="24">
        <f>A3471</f>
        <v>300</v>
      </c>
      <c r="H3471" s="24">
        <f>B3471+100</f>
        <v>3300</v>
      </c>
      <c r="I3471" s="24">
        <f>G3471</f>
        <v>300</v>
      </c>
      <c r="J3471" s="24">
        <f>H3471-2700</f>
        <v>600</v>
      </c>
      <c r="K3471" s="24"/>
      <c r="L3471" s="36"/>
      <c r="M3471" s="24"/>
      <c r="N3471" s="24"/>
      <c r="O3471" s="24"/>
    </row>
    <row r="3472" spans="1:15">
      <c r="A3472" s="2"/>
      <c r="B3472" s="2"/>
      <c r="C3472" s="2"/>
      <c r="D3472" s="2">
        <f>ROUNDUP(6+F3472/2,0)</f>
        <v>22</v>
      </c>
      <c r="E3472" s="2" t="s">
        <v>6</v>
      </c>
      <c r="F3472" s="24">
        <f>LEN(G3472)</f>
        <v>32</v>
      </c>
      <c r="G3472" s="24" t="s">
        <v>462</v>
      </c>
      <c r="H3472" s="24">
        <f>B3471-3100</f>
        <v>100</v>
      </c>
      <c r="I3472" s="24">
        <f>A3471-300</f>
        <v>0</v>
      </c>
      <c r="J3472" s="24"/>
      <c r="M3472" s="24"/>
      <c r="N3472" s="24"/>
      <c r="O3472" s="24"/>
    </row>
    <row r="3473" spans="1:20">
      <c r="D3473" s="2">
        <f>ROUNDUP(6+F3473/2,0)</f>
        <v>7</v>
      </c>
      <c r="E3473" s="2" t="s">
        <v>6</v>
      </c>
      <c r="F3473" s="24">
        <f>LEN(G3473)</f>
        <v>1</v>
      </c>
      <c r="G3473" s="24" t="s">
        <v>42</v>
      </c>
      <c r="H3473" s="24">
        <f>H3472+500</f>
        <v>600</v>
      </c>
      <c r="I3473" s="24">
        <f>I3472+500</f>
        <v>500</v>
      </c>
      <c r="K3473" s="24"/>
      <c r="L3473" s="24"/>
      <c r="M3473" s="24"/>
      <c r="N3473" s="24"/>
      <c r="O3473" s="24"/>
    </row>
    <row r="3474" spans="1:20">
      <c r="D3474" s="2">
        <v>18</v>
      </c>
      <c r="E3474" s="2" t="s">
        <v>111</v>
      </c>
      <c r="F3474" s="24">
        <v>100</v>
      </c>
      <c r="G3474" s="24">
        <f>I3473+350</f>
        <v>850</v>
      </c>
      <c r="H3474" s="24">
        <f>H3473+100</f>
        <v>700</v>
      </c>
      <c r="I3474" s="24">
        <f>G3474</f>
        <v>850</v>
      </c>
      <c r="J3474" s="24">
        <f>H3474+250</f>
        <v>950</v>
      </c>
      <c r="K3474" s="24"/>
      <c r="L3474" s="24"/>
      <c r="O3474" s="24"/>
    </row>
    <row r="3475" spans="1:20">
      <c r="A3475" s="1" t="s">
        <v>2</v>
      </c>
      <c r="B3475" s="1" t="s">
        <v>3</v>
      </c>
      <c r="D3475" s="2">
        <v>18</v>
      </c>
      <c r="E3475" s="2" t="s">
        <v>111</v>
      </c>
      <c r="F3475" s="24">
        <v>250</v>
      </c>
      <c r="G3475" s="24">
        <f>A3476-100</f>
        <v>7200</v>
      </c>
      <c r="H3475" s="24">
        <f>B3476</f>
        <v>3200</v>
      </c>
      <c r="I3475" s="24">
        <f>G3475+7000</f>
        <v>14200</v>
      </c>
      <c r="J3475" s="24">
        <f>H3475</f>
        <v>3200</v>
      </c>
      <c r="K3475" s="24"/>
      <c r="L3475" s="24"/>
      <c r="O3475" s="24"/>
    </row>
    <row r="3476" spans="1:20">
      <c r="A3476" s="1">
        <v>7300</v>
      </c>
      <c r="B3476" s="1">
        <v>3200</v>
      </c>
      <c r="D3476" s="2">
        <v>18</v>
      </c>
      <c r="E3476" s="2" t="s">
        <v>111</v>
      </c>
      <c r="F3476" s="24">
        <v>250</v>
      </c>
      <c r="G3476" s="24">
        <f>A3476</f>
        <v>7300</v>
      </c>
      <c r="H3476" s="24">
        <f>B3476+100</f>
        <v>3300</v>
      </c>
      <c r="I3476" s="24">
        <f>G3476</f>
        <v>7300</v>
      </c>
      <c r="J3476" s="24">
        <f>H3476-2700</f>
        <v>600</v>
      </c>
      <c r="K3476" s="24"/>
      <c r="L3476" s="36"/>
      <c r="M3476" s="24"/>
      <c r="N3476" s="24"/>
      <c r="O3476" s="24"/>
    </row>
    <row r="3477" spans="1:20">
      <c r="A3477" s="2"/>
      <c r="B3477" s="2"/>
      <c r="C3477" s="2"/>
      <c r="D3477" s="2">
        <f>ROUNDUP(6+F3477/2,0)</f>
        <v>23</v>
      </c>
      <c r="E3477" s="2" t="s">
        <v>6</v>
      </c>
      <c r="F3477" s="24">
        <f>LEN(G3477)</f>
        <v>34</v>
      </c>
      <c r="G3477" s="24" t="s">
        <v>463</v>
      </c>
      <c r="H3477" s="24">
        <f>B3476-3100</f>
        <v>100</v>
      </c>
      <c r="I3477" s="24">
        <f>A3476-300</f>
        <v>7000</v>
      </c>
      <c r="J3477" s="24"/>
      <c r="M3477" s="24"/>
      <c r="N3477" s="24"/>
      <c r="O3477" s="24"/>
    </row>
    <row r="3478" spans="1:20">
      <c r="D3478" s="2">
        <f>ROUNDUP(6+F3478/2,0)</f>
        <v>7</v>
      </c>
      <c r="E3478" s="2" t="s">
        <v>6</v>
      </c>
      <c r="F3478" s="24">
        <f>LEN(G3478)</f>
        <v>1</v>
      </c>
      <c r="G3478" s="24" t="s">
        <v>42</v>
      </c>
      <c r="H3478" s="24">
        <f>H3477+500</f>
        <v>600</v>
      </c>
      <c r="I3478" s="24">
        <f>I3477+500</f>
        <v>7500</v>
      </c>
      <c r="K3478" s="24"/>
      <c r="L3478" s="24"/>
      <c r="M3478" s="24"/>
      <c r="N3478" s="24"/>
      <c r="O3478" s="24"/>
    </row>
    <row r="3479" spans="1:20">
      <c r="D3479" s="2">
        <v>18</v>
      </c>
      <c r="E3479" s="2" t="s">
        <v>111</v>
      </c>
      <c r="F3479" s="24">
        <v>100</v>
      </c>
      <c r="G3479" s="24">
        <f>I3478+350</f>
        <v>7850</v>
      </c>
      <c r="H3479" s="24">
        <f>J3479+250</f>
        <v>950</v>
      </c>
      <c r="I3479" s="24">
        <f>G3479</f>
        <v>7850</v>
      </c>
      <c r="J3479" s="24">
        <f>H3478+100</f>
        <v>700</v>
      </c>
      <c r="K3479" s="24"/>
      <c r="L3479" s="24"/>
      <c r="O3479" s="24"/>
    </row>
    <row r="3480" spans="1:20">
      <c r="A3480" s="1"/>
      <c r="B3480" s="1"/>
      <c r="D3480">
        <v>4</v>
      </c>
      <c r="E3480" t="s">
        <v>15</v>
      </c>
      <c r="F3480" s="6">
        <v>4</v>
      </c>
      <c r="G3480" s="24"/>
      <c r="H3480" s="24"/>
      <c r="I3480" s="24"/>
      <c r="J3480" s="24"/>
      <c r="K3480" s="24"/>
      <c r="L3480" s="24"/>
      <c r="M3480" s="24"/>
      <c r="N3480" s="24"/>
      <c r="O3480" s="24"/>
    </row>
    <row r="3481" spans="1:20">
      <c r="A3481" s="2"/>
      <c r="B3481" s="2"/>
      <c r="C3481" s="2"/>
      <c r="D3481" s="2">
        <f>F3481*2+4</f>
        <v>12</v>
      </c>
      <c r="E3481" s="2" t="s">
        <v>4</v>
      </c>
      <c r="F3481" s="24">
        <v>4</v>
      </c>
      <c r="G3481" s="24">
        <f>A3471</f>
        <v>300</v>
      </c>
      <c r="H3481" s="24">
        <f>B3471</f>
        <v>3200</v>
      </c>
      <c r="I3481" s="24">
        <f>G3481+2000</f>
        <v>2300</v>
      </c>
      <c r="J3481" s="24">
        <f>L3481</f>
        <v>1200</v>
      </c>
      <c r="K3481" s="24">
        <f>G3481+5000</f>
        <v>5300</v>
      </c>
      <c r="L3481" s="24">
        <f>H3481-2000</f>
        <v>1200</v>
      </c>
      <c r="M3481" s="6">
        <f>K3481</f>
        <v>5300</v>
      </c>
      <c r="N3481" s="6">
        <f>H3481</f>
        <v>3200</v>
      </c>
      <c r="O3481" s="24"/>
    </row>
    <row r="3482" spans="1:20">
      <c r="A3482" s="2"/>
      <c r="B3482" s="2"/>
      <c r="C3482" s="2"/>
      <c r="D3482">
        <v>4</v>
      </c>
      <c r="E3482" t="s">
        <v>15</v>
      </c>
      <c r="F3482" s="6">
        <v>5</v>
      </c>
      <c r="G3482" s="24"/>
      <c r="H3482" s="24"/>
      <c r="I3482" s="24"/>
      <c r="J3482" s="24"/>
      <c r="K3482" s="24"/>
      <c r="L3482" s="24"/>
      <c r="M3482" s="24"/>
      <c r="N3482" s="24"/>
      <c r="O3482" s="24"/>
    </row>
    <row r="3483" spans="1:20">
      <c r="A3483" s="2"/>
      <c r="B3483" s="2"/>
      <c r="C3483" s="2"/>
      <c r="D3483" s="2">
        <f>F3483*2+4</f>
        <v>12</v>
      </c>
      <c r="E3483" s="2" t="s">
        <v>4</v>
      </c>
      <c r="F3483" s="24">
        <v>4</v>
      </c>
      <c r="G3483" s="24">
        <f>G3485</f>
        <v>7300</v>
      </c>
      <c r="H3483" s="24">
        <f>H3485</f>
        <v>3200</v>
      </c>
      <c r="I3483" s="24">
        <f>G3483+2400</f>
        <v>9700</v>
      </c>
      <c r="J3483" s="24">
        <f>L3483</f>
        <v>800</v>
      </c>
      <c r="K3483" s="24">
        <f>G3483+6000</f>
        <v>13300</v>
      </c>
      <c r="L3483" s="24">
        <f>H3483-2400</f>
        <v>800</v>
      </c>
      <c r="M3483" s="6">
        <f>K3483</f>
        <v>13300</v>
      </c>
      <c r="N3483" s="6">
        <f>H3483</f>
        <v>3200</v>
      </c>
      <c r="O3483" s="24"/>
    </row>
    <row r="3484" spans="1:20">
      <c r="A3484" s="2"/>
      <c r="B3484" s="2"/>
      <c r="C3484" s="2"/>
      <c r="D3484">
        <v>4</v>
      </c>
      <c r="E3484" t="s">
        <v>15</v>
      </c>
      <c r="F3484" s="6">
        <v>3</v>
      </c>
      <c r="G3484" s="24"/>
      <c r="H3484" s="24"/>
      <c r="I3484" s="24"/>
      <c r="J3484" s="24"/>
      <c r="K3484" s="24"/>
      <c r="L3484" s="24"/>
      <c r="M3484" s="24"/>
      <c r="N3484" s="24"/>
      <c r="O3484" s="24"/>
    </row>
    <row r="3485" spans="1:20">
      <c r="A3485" s="2"/>
      <c r="B3485" s="2"/>
      <c r="C3485" s="2"/>
      <c r="D3485" s="2">
        <f>F3485*2+4</f>
        <v>12</v>
      </c>
      <c r="E3485" s="2" t="s">
        <v>4</v>
      </c>
      <c r="F3485" s="24">
        <v>4</v>
      </c>
      <c r="G3485" s="24">
        <f>A3476</f>
        <v>7300</v>
      </c>
      <c r="H3485" s="24">
        <f>B3476</f>
        <v>3200</v>
      </c>
      <c r="I3485" s="24">
        <f>G3485+2000</f>
        <v>9300</v>
      </c>
      <c r="J3485" s="24">
        <f>L3485</f>
        <v>1200</v>
      </c>
      <c r="K3485" s="24">
        <f>G3485+5000</f>
        <v>12300</v>
      </c>
      <c r="L3485" s="24">
        <f>H3485-2000</f>
        <v>1200</v>
      </c>
      <c r="M3485" s="6">
        <f>K3485</f>
        <v>12300</v>
      </c>
      <c r="N3485" s="6">
        <f>H3485</f>
        <v>3200</v>
      </c>
      <c r="O3485" s="24"/>
    </row>
    <row r="3486" spans="1:20">
      <c r="A3486" s="2"/>
      <c r="B3486" s="2"/>
      <c r="C3486" s="2"/>
      <c r="D3486" s="2">
        <f>F3486*2+4</f>
        <v>12</v>
      </c>
      <c r="E3486" s="2" t="s">
        <v>4</v>
      </c>
      <c r="F3486" s="24">
        <v>4</v>
      </c>
      <c r="G3486" s="24">
        <f>G3481</f>
        <v>300</v>
      </c>
      <c r="H3486" s="24">
        <f>H3481</f>
        <v>3200</v>
      </c>
      <c r="I3486" s="24">
        <f>G3486+1600</f>
        <v>1900</v>
      </c>
      <c r="J3486" s="24">
        <f>L3486</f>
        <v>1600</v>
      </c>
      <c r="K3486" s="24">
        <f>G3486+4000</f>
        <v>4300</v>
      </c>
      <c r="L3486" s="24">
        <f>H3486-1600</f>
        <v>1600</v>
      </c>
      <c r="M3486" s="24">
        <f>K3486</f>
        <v>4300</v>
      </c>
      <c r="N3486" s="24">
        <f>H3486</f>
        <v>3200</v>
      </c>
      <c r="O3486" s="24"/>
    </row>
    <row r="3488" spans="1:20">
      <c r="A3488" s="1" t="s">
        <v>2</v>
      </c>
      <c r="B3488" s="1" t="s">
        <v>3</v>
      </c>
      <c r="D3488" s="2">
        <v>18</v>
      </c>
      <c r="E3488" s="2" t="s">
        <v>111</v>
      </c>
      <c r="F3488" s="24">
        <v>250</v>
      </c>
      <c r="G3488" s="24">
        <f>A3489-100</f>
        <v>200</v>
      </c>
      <c r="H3488" s="24">
        <f>B3489</f>
        <v>3200</v>
      </c>
      <c r="I3488" s="24">
        <f>G3488+6500</f>
        <v>6700</v>
      </c>
      <c r="J3488" s="24">
        <f>H3488</f>
        <v>3200</v>
      </c>
      <c r="K3488" s="24"/>
      <c r="L3488" s="24"/>
      <c r="O3488" s="36"/>
      <c r="Q3488" s="2"/>
      <c r="R3488" s="2"/>
      <c r="S3488" s="2"/>
      <c r="T3488" s="2"/>
    </row>
    <row r="3489" spans="1:20">
      <c r="A3489" s="1">
        <v>300</v>
      </c>
      <c r="B3489" s="1">
        <v>3200</v>
      </c>
      <c r="D3489" s="2">
        <v>18</v>
      </c>
      <c r="E3489" s="2" t="s">
        <v>111</v>
      </c>
      <c r="F3489" s="24">
        <v>250</v>
      </c>
      <c r="G3489" s="24">
        <f>A3489</f>
        <v>300</v>
      </c>
      <c r="H3489" s="24">
        <f>B3489+100</f>
        <v>3300</v>
      </c>
      <c r="I3489" s="24">
        <f>G3489</f>
        <v>300</v>
      </c>
      <c r="J3489" s="24">
        <f>H3489-2700</f>
        <v>600</v>
      </c>
      <c r="K3489" s="24"/>
      <c r="L3489" s="36"/>
      <c r="M3489" s="24"/>
      <c r="N3489" s="24"/>
      <c r="O3489" s="24"/>
      <c r="P3489" s="2"/>
      <c r="Q3489" s="2"/>
      <c r="R3489" s="2"/>
      <c r="S3489" s="2"/>
      <c r="T3489" s="2"/>
    </row>
    <row r="3490" spans="1:20">
      <c r="A3490" s="1" t="s">
        <v>466</v>
      </c>
      <c r="B3490" s="2"/>
      <c r="C3490" s="2"/>
      <c r="D3490" s="2">
        <f>ROUNDUP(6+F3490/2,0)</f>
        <v>20</v>
      </c>
      <c r="E3490" s="2" t="s">
        <v>6</v>
      </c>
      <c r="F3490" s="24">
        <f>LEN(G3490)</f>
        <v>28</v>
      </c>
      <c r="G3490" s="24" t="s">
        <v>464</v>
      </c>
      <c r="H3490" s="24">
        <f>B3489-3100</f>
        <v>100</v>
      </c>
      <c r="I3490" s="24">
        <f>A3489-300</f>
        <v>0</v>
      </c>
      <c r="J3490" s="24"/>
      <c r="M3490" s="24"/>
      <c r="N3490" s="24"/>
      <c r="O3490" s="24"/>
      <c r="P3490" s="2"/>
      <c r="Q3490" s="2"/>
      <c r="R3490" s="2"/>
      <c r="S3490" s="2"/>
      <c r="T3490" s="2"/>
    </row>
    <row r="3491" spans="1:20">
      <c r="D3491" s="2">
        <f>ROUNDUP(6+F3491/2,0)</f>
        <v>7</v>
      </c>
      <c r="E3491" s="2" t="s">
        <v>6</v>
      </c>
      <c r="F3491" s="24">
        <f>LEN(G3491)</f>
        <v>1</v>
      </c>
      <c r="G3491" s="24" t="s">
        <v>405</v>
      </c>
      <c r="H3491" s="24">
        <f>H3490+500</f>
        <v>600</v>
      </c>
      <c r="I3491" s="24">
        <f>I3490+500</f>
        <v>500</v>
      </c>
      <c r="K3491" s="24"/>
      <c r="L3491" s="24"/>
      <c r="M3491" s="24"/>
      <c r="N3491" s="24"/>
      <c r="O3491" s="24"/>
      <c r="P3491" s="2"/>
      <c r="Q3491" s="2"/>
      <c r="R3491" s="2"/>
      <c r="S3491" s="2"/>
      <c r="T3491" s="2"/>
    </row>
    <row r="3492" spans="1:20">
      <c r="D3492" s="2">
        <v>18</v>
      </c>
      <c r="E3492" s="2" t="s">
        <v>111</v>
      </c>
      <c r="F3492" s="24">
        <v>100</v>
      </c>
      <c r="G3492" s="24">
        <f>I3491+350</f>
        <v>850</v>
      </c>
      <c r="H3492" s="24">
        <f>J3492+250</f>
        <v>950</v>
      </c>
      <c r="I3492" s="24">
        <f>G3492</f>
        <v>850</v>
      </c>
      <c r="J3492" s="24">
        <f>H3491+100</f>
        <v>700</v>
      </c>
      <c r="K3492" s="24"/>
      <c r="L3492" s="24"/>
      <c r="O3492" s="24"/>
      <c r="P3492" s="2"/>
      <c r="Q3492" s="2"/>
      <c r="R3492" s="2"/>
      <c r="S3492" s="2"/>
      <c r="T3492" s="2"/>
    </row>
    <row r="3493" spans="1:20">
      <c r="A3493" s="1" t="s">
        <v>2</v>
      </c>
      <c r="B3493" s="1" t="s">
        <v>3</v>
      </c>
      <c r="D3493" s="2">
        <v>18</v>
      </c>
      <c r="E3493" s="2" t="s">
        <v>111</v>
      </c>
      <c r="F3493" s="24">
        <v>250</v>
      </c>
      <c r="G3493" s="24">
        <f>A3494-100</f>
        <v>7200</v>
      </c>
      <c r="H3493" s="24">
        <f>B3494</f>
        <v>3200</v>
      </c>
      <c r="I3493" s="24">
        <f>G3493+6000</f>
        <v>13200</v>
      </c>
      <c r="J3493" s="24">
        <f>H3493</f>
        <v>3200</v>
      </c>
      <c r="K3493" s="24"/>
      <c r="L3493" s="24"/>
      <c r="O3493" s="24"/>
      <c r="P3493" s="2"/>
      <c r="Q3493" s="2"/>
      <c r="R3493" s="2"/>
      <c r="S3493" s="2"/>
      <c r="T3493" s="2"/>
    </row>
    <row r="3494" spans="1:20">
      <c r="A3494" s="1">
        <v>7300</v>
      </c>
      <c r="B3494" s="1">
        <v>3200</v>
      </c>
      <c r="D3494" s="2">
        <v>18</v>
      </c>
      <c r="E3494" s="2" t="s">
        <v>111</v>
      </c>
      <c r="F3494" s="24">
        <v>250</v>
      </c>
      <c r="G3494" s="24">
        <f>A3494</f>
        <v>7300</v>
      </c>
      <c r="H3494" s="24">
        <f>B3494+100</f>
        <v>3300</v>
      </c>
      <c r="I3494" s="24">
        <f>G3494</f>
        <v>7300</v>
      </c>
      <c r="J3494" s="24">
        <f>H3494-2700</f>
        <v>600</v>
      </c>
      <c r="K3494" s="24"/>
      <c r="L3494" s="36"/>
      <c r="M3494" s="24"/>
      <c r="N3494" s="24"/>
      <c r="O3494" s="24"/>
      <c r="P3494" s="2"/>
      <c r="Q3494" s="2"/>
      <c r="R3494" s="2"/>
      <c r="S3494" s="2"/>
      <c r="T3494" s="2"/>
    </row>
    <row r="3495" spans="1:20">
      <c r="A3495" s="2"/>
      <c r="B3495" s="2"/>
      <c r="C3495" s="2"/>
      <c r="D3495" s="2">
        <f>ROUNDUP(6+F3495/2,0)</f>
        <v>25</v>
      </c>
      <c r="E3495" s="2" t="s">
        <v>6</v>
      </c>
      <c r="F3495" s="24">
        <f>LEN(G3495)</f>
        <v>37</v>
      </c>
      <c r="G3495" s="24" t="s">
        <v>465</v>
      </c>
      <c r="H3495" s="24">
        <f>B3494-3100</f>
        <v>100</v>
      </c>
      <c r="I3495" s="24">
        <f>A3494-300</f>
        <v>7000</v>
      </c>
      <c r="J3495" s="24"/>
      <c r="M3495" s="24"/>
      <c r="N3495" s="24"/>
      <c r="O3495" s="24"/>
      <c r="P3495" s="2"/>
      <c r="Q3495" s="2"/>
      <c r="R3495" s="2"/>
      <c r="S3495" s="2"/>
      <c r="T3495" s="2"/>
    </row>
    <row r="3496" spans="1:20">
      <c r="D3496" s="2">
        <f>ROUNDUP(6+F3496/2,0)</f>
        <v>7</v>
      </c>
      <c r="E3496" s="2" t="s">
        <v>6</v>
      </c>
      <c r="F3496" s="24">
        <f>LEN(G3496)</f>
        <v>1</v>
      </c>
      <c r="G3496" s="24" t="s">
        <v>405</v>
      </c>
      <c r="H3496" s="24">
        <f>H3495+500</f>
        <v>600</v>
      </c>
      <c r="I3496" s="24">
        <f>I3495+500</f>
        <v>7500</v>
      </c>
      <c r="K3496" s="24"/>
      <c r="L3496" s="24"/>
      <c r="M3496" s="24"/>
      <c r="N3496" s="24"/>
      <c r="O3496" s="24"/>
      <c r="P3496" s="2"/>
      <c r="Q3496" s="2"/>
      <c r="R3496" s="2"/>
      <c r="S3496" s="2"/>
      <c r="T3496" s="2"/>
    </row>
    <row r="3497" spans="1:20">
      <c r="D3497" s="2">
        <v>18</v>
      </c>
      <c r="E3497" s="2" t="s">
        <v>111</v>
      </c>
      <c r="F3497" s="24">
        <v>100</v>
      </c>
      <c r="G3497" s="24">
        <f>I3496+350</f>
        <v>7850</v>
      </c>
      <c r="H3497" s="24">
        <f>J3497+250</f>
        <v>950</v>
      </c>
      <c r="I3497" s="24">
        <f>G3497</f>
        <v>7850</v>
      </c>
      <c r="J3497" s="24">
        <f>H3496+100</f>
        <v>700</v>
      </c>
      <c r="K3497" s="24"/>
      <c r="L3497" s="24"/>
      <c r="O3497" s="24"/>
      <c r="P3497" s="2"/>
      <c r="Q3497" s="2"/>
      <c r="R3497" s="2"/>
      <c r="S3497" s="2"/>
      <c r="T3497" s="2"/>
    </row>
    <row r="3498" spans="1:20">
      <c r="A3498" s="2"/>
      <c r="B3498" s="2"/>
      <c r="C3498" s="2"/>
      <c r="D3498">
        <v>4</v>
      </c>
      <c r="E3498" t="s">
        <v>15</v>
      </c>
      <c r="F3498" s="6">
        <v>3</v>
      </c>
      <c r="G3498" s="24"/>
      <c r="H3498" s="24"/>
      <c r="I3498" s="24"/>
      <c r="J3498" s="24"/>
      <c r="K3498" s="24"/>
      <c r="L3498" s="24"/>
      <c r="M3498" s="24"/>
      <c r="N3498" s="24"/>
      <c r="O3498" s="24"/>
      <c r="P3498" s="2"/>
      <c r="Q3498" s="2"/>
      <c r="R3498" s="2"/>
      <c r="S3498" s="2"/>
      <c r="T3498" s="2"/>
    </row>
    <row r="3499" spans="1:20">
      <c r="A3499" s="2"/>
      <c r="B3499" s="2"/>
      <c r="C3499" s="2"/>
      <c r="D3499" s="2">
        <f>F3499*2+4</f>
        <v>12</v>
      </c>
      <c r="E3499" s="2" t="s">
        <v>4</v>
      </c>
      <c r="F3499" s="24">
        <v>4</v>
      </c>
      <c r="G3499" s="24">
        <f>A3489</f>
        <v>300</v>
      </c>
      <c r="H3499" s="24">
        <f>B3489</f>
        <v>3200</v>
      </c>
      <c r="I3499" s="24">
        <f>G3499+1600</f>
        <v>1900</v>
      </c>
      <c r="J3499" s="24">
        <f>L3499</f>
        <v>1600</v>
      </c>
      <c r="K3499" s="24">
        <f>G3499+4000</f>
        <v>4300</v>
      </c>
      <c r="L3499" s="24">
        <f>H3499-1600</f>
        <v>1600</v>
      </c>
      <c r="M3499" s="24">
        <f>K3499</f>
        <v>4300</v>
      </c>
      <c r="N3499" s="24">
        <f>H3499</f>
        <v>3200</v>
      </c>
      <c r="O3499" s="24"/>
      <c r="P3499" s="2"/>
      <c r="Q3499" s="2"/>
      <c r="R3499" s="2"/>
      <c r="S3499" s="2"/>
      <c r="T3499" s="2"/>
    </row>
    <row r="3500" spans="1:20">
      <c r="A3500" s="2"/>
      <c r="B3500" s="2"/>
      <c r="C3500" s="2"/>
      <c r="D3500" s="2">
        <f>F3500*2+4</f>
        <v>12</v>
      </c>
      <c r="E3500" s="2" t="s">
        <v>4</v>
      </c>
      <c r="F3500" s="24">
        <v>4</v>
      </c>
      <c r="G3500" s="24">
        <f>A3494+1000</f>
        <v>8300</v>
      </c>
      <c r="H3500" s="24">
        <f>B3494</f>
        <v>3200</v>
      </c>
      <c r="I3500" s="24">
        <f>G3500+1600</f>
        <v>9900</v>
      </c>
      <c r="J3500" s="24">
        <f>L3500</f>
        <v>1600</v>
      </c>
      <c r="K3500" s="24">
        <f>G3500+4000</f>
        <v>12300</v>
      </c>
      <c r="L3500" s="24">
        <f>H3500-1600</f>
        <v>1600</v>
      </c>
      <c r="M3500" s="24">
        <f>K3500</f>
        <v>12300</v>
      </c>
      <c r="N3500" s="24">
        <f>H3500</f>
        <v>3200</v>
      </c>
      <c r="O3500" s="24"/>
      <c r="P3500" s="2"/>
      <c r="Q3500" s="2"/>
      <c r="R3500" s="2"/>
      <c r="S3500" s="2"/>
      <c r="T3500" s="2"/>
    </row>
    <row r="3501" spans="1:20">
      <c r="A3501" s="2"/>
      <c r="B3501" s="2"/>
      <c r="C3501" s="2"/>
      <c r="D3501">
        <v>4</v>
      </c>
      <c r="E3501" t="s">
        <v>15</v>
      </c>
      <c r="F3501" s="6">
        <v>5</v>
      </c>
      <c r="G3501" s="24"/>
      <c r="J3501" s="24"/>
      <c r="K3501" s="24"/>
      <c r="L3501" s="24"/>
      <c r="M3501" s="24"/>
      <c r="N3501" s="24"/>
      <c r="O3501" s="24"/>
      <c r="P3501" s="2"/>
      <c r="Q3501" s="2"/>
      <c r="R3501" s="2"/>
      <c r="S3501" s="2"/>
      <c r="T3501" s="2"/>
    </row>
    <row r="3502" spans="1:20">
      <c r="D3502" s="2">
        <f>F3502*2+4</f>
        <v>16</v>
      </c>
      <c r="E3502" s="2" t="s">
        <v>4</v>
      </c>
      <c r="F3502" s="24">
        <v>6</v>
      </c>
      <c r="G3502" s="24">
        <f>K3499</f>
        <v>4300</v>
      </c>
      <c r="H3502" s="24">
        <f>L3499</f>
        <v>1600</v>
      </c>
      <c r="I3502" s="24">
        <f>M3499</f>
        <v>4300</v>
      </c>
      <c r="J3502" s="24">
        <f>N3499</f>
        <v>3200</v>
      </c>
      <c r="K3502" s="24">
        <f>G3502+1500</f>
        <v>5800</v>
      </c>
      <c r="L3502" s="24">
        <f>J3502</f>
        <v>3200</v>
      </c>
      <c r="M3502" s="6">
        <f>K3502</f>
        <v>5800</v>
      </c>
      <c r="N3502" s="6">
        <f>L3502-2000</f>
        <v>1200</v>
      </c>
      <c r="O3502" s="24">
        <f>M3502-3000</f>
        <v>2800</v>
      </c>
      <c r="P3502" s="2">
        <f>N3502</f>
        <v>1200</v>
      </c>
      <c r="Q3502" s="2">
        <f>O3502-400</f>
        <v>2400</v>
      </c>
      <c r="R3502" s="2">
        <f>P3502+400</f>
        <v>1600</v>
      </c>
      <c r="S3502" s="2"/>
      <c r="T3502" s="2"/>
    </row>
    <row r="3503" spans="1:20">
      <c r="D3503" s="2">
        <f>F3503*2+4</f>
        <v>18</v>
      </c>
      <c r="E3503" s="2" t="s">
        <v>4</v>
      </c>
      <c r="F3503" s="24">
        <v>7</v>
      </c>
      <c r="G3503" s="24">
        <f>A3494</f>
        <v>7300</v>
      </c>
      <c r="H3503" s="24">
        <f>B3494</f>
        <v>3200</v>
      </c>
      <c r="I3503" s="24">
        <f>G3500</f>
        <v>8300</v>
      </c>
      <c r="J3503" s="24">
        <f>H3500</f>
        <v>3200</v>
      </c>
      <c r="K3503" s="24">
        <f>I3500</f>
        <v>9900</v>
      </c>
      <c r="L3503" s="24">
        <f>J3500</f>
        <v>1600</v>
      </c>
      <c r="M3503" s="24">
        <f>K3503+1000</f>
        <v>10900</v>
      </c>
      <c r="N3503" s="24">
        <f>L3503</f>
        <v>1600</v>
      </c>
      <c r="O3503" s="24">
        <f>M3503</f>
        <v>10900</v>
      </c>
      <c r="P3503" s="2">
        <f>N3503-400</f>
        <v>1200</v>
      </c>
      <c r="Q3503" s="2">
        <f>O3503-1200</f>
        <v>9700</v>
      </c>
      <c r="R3503" s="2">
        <f>P3503</f>
        <v>1200</v>
      </c>
      <c r="S3503" s="2">
        <f>G3503+1000</f>
        <v>8300</v>
      </c>
      <c r="T3503" s="2">
        <f>H3503-1000</f>
        <v>2200</v>
      </c>
    </row>
    <row r="3505" spans="1:18">
      <c r="A3505" s="1" t="s">
        <v>2</v>
      </c>
      <c r="B3505" s="1" t="s">
        <v>3</v>
      </c>
      <c r="D3505" s="2">
        <v>18</v>
      </c>
      <c r="E3505" s="2" t="s">
        <v>111</v>
      </c>
      <c r="F3505" s="24">
        <v>250</v>
      </c>
      <c r="G3505" s="24">
        <f>A3506-100</f>
        <v>200</v>
      </c>
      <c r="H3505" s="24">
        <f>B3506</f>
        <v>3200</v>
      </c>
      <c r="I3505" s="24">
        <f>G3505+6000</f>
        <v>6200</v>
      </c>
      <c r="J3505" s="24">
        <f>H3505</f>
        <v>3200</v>
      </c>
      <c r="K3505" s="24"/>
      <c r="L3505" s="24"/>
      <c r="O3505" s="36"/>
      <c r="Q3505" s="2"/>
      <c r="R3505" s="2"/>
    </row>
    <row r="3506" spans="1:18">
      <c r="A3506" s="1">
        <v>300</v>
      </c>
      <c r="B3506" s="1">
        <v>3200</v>
      </c>
      <c r="D3506" s="2">
        <v>18</v>
      </c>
      <c r="E3506" s="2" t="s">
        <v>111</v>
      </c>
      <c r="F3506" s="24">
        <v>250</v>
      </c>
      <c r="G3506" s="24">
        <f>A3506</f>
        <v>300</v>
      </c>
      <c r="H3506" s="24">
        <f>B3506+100</f>
        <v>3300</v>
      </c>
      <c r="I3506" s="24">
        <f>G3506</f>
        <v>300</v>
      </c>
      <c r="J3506" s="24">
        <f>H3506-2700</f>
        <v>600</v>
      </c>
      <c r="K3506" s="24"/>
      <c r="L3506" s="36"/>
      <c r="M3506" s="24"/>
      <c r="N3506" s="24"/>
      <c r="O3506" s="24"/>
      <c r="P3506" s="2"/>
      <c r="Q3506" s="2"/>
      <c r="R3506" s="2"/>
    </row>
    <row r="3507" spans="1:18">
      <c r="A3507" s="1" t="s">
        <v>468</v>
      </c>
      <c r="B3507" s="2"/>
      <c r="C3507" s="2"/>
      <c r="D3507" s="2">
        <f>ROUNDUP(6+F3507/2,0)</f>
        <v>18</v>
      </c>
      <c r="E3507" s="2" t="s">
        <v>6</v>
      </c>
      <c r="F3507" s="24">
        <f>LEN(G3507)</f>
        <v>24</v>
      </c>
      <c r="G3507" s="24" t="s">
        <v>469</v>
      </c>
      <c r="H3507" s="24">
        <f>B3506-3100</f>
        <v>100</v>
      </c>
      <c r="I3507" s="24">
        <f>A3506-300</f>
        <v>0</v>
      </c>
      <c r="J3507" s="24"/>
      <c r="M3507" s="24"/>
      <c r="N3507" s="24"/>
      <c r="O3507" s="24"/>
      <c r="P3507" s="2"/>
      <c r="Q3507" s="2"/>
      <c r="R3507" s="2"/>
    </row>
    <row r="3508" spans="1:18">
      <c r="D3508" s="2">
        <f>ROUNDUP(6+F3508/2,0)</f>
        <v>7</v>
      </c>
      <c r="E3508" s="2" t="s">
        <v>6</v>
      </c>
      <c r="F3508" s="24">
        <f>LEN(G3508)</f>
        <v>1</v>
      </c>
      <c r="G3508" s="24" t="s">
        <v>405</v>
      </c>
      <c r="H3508" s="24">
        <f>H3507+500</f>
        <v>600</v>
      </c>
      <c r="I3508" s="24">
        <f>I3507+500</f>
        <v>500</v>
      </c>
      <c r="K3508" s="24"/>
      <c r="L3508" s="24"/>
      <c r="M3508" s="24"/>
      <c r="N3508" s="24"/>
      <c r="O3508" s="24"/>
      <c r="P3508" s="2"/>
      <c r="Q3508" s="2"/>
      <c r="R3508" s="2"/>
    </row>
    <row r="3509" spans="1:18">
      <c r="D3509" s="2">
        <v>18</v>
      </c>
      <c r="E3509" s="2" t="s">
        <v>111</v>
      </c>
      <c r="F3509" s="24">
        <v>100</v>
      </c>
      <c r="G3509" s="24">
        <f>I3508+350</f>
        <v>850</v>
      </c>
      <c r="H3509" s="24">
        <f>J3509+250</f>
        <v>950</v>
      </c>
      <c r="I3509" s="24">
        <f>G3509</f>
        <v>850</v>
      </c>
      <c r="J3509" s="24">
        <f>H3508+100</f>
        <v>700</v>
      </c>
      <c r="K3509" s="24"/>
      <c r="L3509" s="24"/>
      <c r="O3509" s="24"/>
      <c r="P3509" s="2"/>
      <c r="Q3509" s="2"/>
      <c r="R3509" s="2"/>
    </row>
    <row r="3510" spans="1:18">
      <c r="A3510" s="1" t="s">
        <v>2</v>
      </c>
      <c r="B3510" s="1" t="s">
        <v>3</v>
      </c>
      <c r="D3510" s="2">
        <v>18</v>
      </c>
      <c r="E3510" s="2" t="s">
        <v>111</v>
      </c>
      <c r="F3510" s="24">
        <v>250</v>
      </c>
      <c r="G3510" s="24">
        <f>A3511-100</f>
        <v>7200</v>
      </c>
      <c r="H3510" s="24">
        <f>B3511</f>
        <v>3200</v>
      </c>
      <c r="I3510" s="24">
        <f>G3510+6000</f>
        <v>13200</v>
      </c>
      <c r="J3510" s="24">
        <f>H3510</f>
        <v>3200</v>
      </c>
      <c r="K3510" s="24"/>
      <c r="L3510" s="24"/>
      <c r="O3510" s="24"/>
      <c r="P3510" s="2"/>
      <c r="Q3510" s="2"/>
      <c r="R3510" s="2"/>
    </row>
    <row r="3511" spans="1:18">
      <c r="A3511" s="1">
        <v>7300</v>
      </c>
      <c r="B3511" s="1">
        <v>3200</v>
      </c>
      <c r="D3511" s="2">
        <v>18</v>
      </c>
      <c r="E3511" s="2" t="s">
        <v>111</v>
      </c>
      <c r="F3511" s="24">
        <v>250</v>
      </c>
      <c r="G3511" s="24">
        <f>A3511</f>
        <v>7300</v>
      </c>
      <c r="H3511" s="24">
        <f>B3511+100</f>
        <v>3300</v>
      </c>
      <c r="I3511" s="24">
        <f>G3511</f>
        <v>7300</v>
      </c>
      <c r="J3511" s="24">
        <f>H3511-2700</f>
        <v>600</v>
      </c>
      <c r="K3511" s="24"/>
      <c r="L3511" s="36"/>
      <c r="M3511" s="24"/>
      <c r="N3511" s="24"/>
      <c r="O3511" s="24"/>
      <c r="P3511" s="2"/>
      <c r="Q3511" s="2"/>
      <c r="R3511" s="2"/>
    </row>
    <row r="3512" spans="1:18">
      <c r="A3512" s="2"/>
      <c r="B3512" s="2"/>
      <c r="C3512" s="2"/>
      <c r="D3512" s="2">
        <f>ROUNDUP(6+F3512/2,0)</f>
        <v>23</v>
      </c>
      <c r="E3512" s="2" t="s">
        <v>6</v>
      </c>
      <c r="F3512" s="24">
        <f>LEN(G3512)</f>
        <v>33</v>
      </c>
      <c r="G3512" s="24" t="s">
        <v>470</v>
      </c>
      <c r="H3512" s="24">
        <f>B3511-3100</f>
        <v>100</v>
      </c>
      <c r="I3512" s="24">
        <f>A3511-300</f>
        <v>7000</v>
      </c>
      <c r="J3512" s="24"/>
      <c r="M3512" s="24"/>
      <c r="N3512" s="24"/>
      <c r="O3512" s="24"/>
      <c r="P3512" s="2"/>
      <c r="Q3512" s="2"/>
      <c r="R3512" s="2"/>
    </row>
    <row r="3513" spans="1:18">
      <c r="D3513" s="2">
        <f>ROUNDUP(6+F3513/2,0)</f>
        <v>7</v>
      </c>
      <c r="E3513" s="2" t="s">
        <v>6</v>
      </c>
      <c r="F3513" s="24">
        <f>LEN(G3513)</f>
        <v>1</v>
      </c>
      <c r="G3513" s="24" t="s">
        <v>22</v>
      </c>
      <c r="H3513" s="24">
        <f>H3512+500</f>
        <v>600</v>
      </c>
      <c r="I3513" s="24">
        <f>I3512+500</f>
        <v>7500</v>
      </c>
      <c r="K3513" s="24"/>
      <c r="L3513" s="24"/>
      <c r="M3513" s="24"/>
      <c r="N3513" s="24"/>
      <c r="O3513" s="24"/>
      <c r="P3513" s="2"/>
      <c r="Q3513" s="2"/>
      <c r="R3513" s="2"/>
    </row>
    <row r="3514" spans="1:18">
      <c r="D3514" s="2">
        <v>18</v>
      </c>
      <c r="E3514" s="2" t="s">
        <v>111</v>
      </c>
      <c r="F3514" s="24">
        <v>100</v>
      </c>
      <c r="G3514" s="24">
        <f>I3513+350</f>
        <v>7850</v>
      </c>
      <c r="H3514" s="24">
        <f>J3514+250</f>
        <v>950</v>
      </c>
      <c r="I3514" s="24">
        <f>G3514</f>
        <v>7850</v>
      </c>
      <c r="J3514" s="24">
        <f>H3513+100</f>
        <v>700</v>
      </c>
      <c r="K3514" s="24"/>
      <c r="L3514" s="24"/>
      <c r="O3514" s="24"/>
      <c r="P3514" s="2"/>
      <c r="Q3514" s="2"/>
      <c r="R3514" s="2"/>
    </row>
    <row r="3515" spans="1:18">
      <c r="A3515" s="2"/>
      <c r="B3515" s="2"/>
      <c r="C3515" s="2"/>
      <c r="D3515">
        <v>4</v>
      </c>
      <c r="E3515" t="s">
        <v>15</v>
      </c>
      <c r="F3515" s="6">
        <v>3</v>
      </c>
      <c r="G3515" s="24"/>
      <c r="H3515" s="24"/>
      <c r="I3515" s="24"/>
      <c r="J3515" s="24"/>
      <c r="K3515" s="24"/>
      <c r="L3515" s="24"/>
      <c r="M3515" s="24"/>
      <c r="N3515" s="24"/>
      <c r="O3515" s="24"/>
      <c r="P3515" s="2"/>
      <c r="Q3515" s="2"/>
      <c r="R3515" s="2"/>
    </row>
    <row r="3516" spans="1:18">
      <c r="B3516" s="2"/>
      <c r="C3516" s="2"/>
      <c r="D3516" s="2">
        <f>F3516*2+4</f>
        <v>12</v>
      </c>
      <c r="E3516" s="2" t="s">
        <v>4</v>
      </c>
      <c r="F3516" s="24">
        <v>4</v>
      </c>
      <c r="G3516" s="24">
        <f>A3506</f>
        <v>300</v>
      </c>
      <c r="H3516" s="24">
        <f>B3506</f>
        <v>3200</v>
      </c>
      <c r="I3516" s="24">
        <f>G3516+1600</f>
        <v>1900</v>
      </c>
      <c r="J3516" s="24">
        <f>L3516</f>
        <v>1600</v>
      </c>
      <c r="K3516" s="24">
        <f>G3516+4000</f>
        <v>4300</v>
      </c>
      <c r="L3516" s="24">
        <f>H3516-1600</f>
        <v>1600</v>
      </c>
      <c r="M3516" s="24">
        <f>K3516</f>
        <v>4300</v>
      </c>
      <c r="N3516" s="24">
        <f>H3516</f>
        <v>3200</v>
      </c>
      <c r="O3516" s="24"/>
      <c r="P3516" s="2"/>
      <c r="Q3516" s="2"/>
      <c r="R3516" s="2"/>
    </row>
    <row r="3517" spans="1:18">
      <c r="A3517" s="2"/>
      <c r="B3517" s="2"/>
      <c r="C3517" s="2"/>
      <c r="D3517" s="2">
        <f>F3517*2+4</f>
        <v>12</v>
      </c>
      <c r="E3517" s="2" t="s">
        <v>4</v>
      </c>
      <c r="F3517" s="24">
        <v>4</v>
      </c>
      <c r="G3517" s="24">
        <f>A3511</f>
        <v>7300</v>
      </c>
      <c r="H3517" s="24">
        <f>B3511</f>
        <v>3200</v>
      </c>
      <c r="I3517" s="24">
        <f>G3517+1600</f>
        <v>8900</v>
      </c>
      <c r="J3517" s="24">
        <f>L3517</f>
        <v>1600</v>
      </c>
      <c r="K3517" s="24">
        <f>G3517+4000</f>
        <v>11300</v>
      </c>
      <c r="L3517" s="24">
        <f>H3517-1600</f>
        <v>1600</v>
      </c>
      <c r="M3517" s="24">
        <f>K3517</f>
        <v>11300</v>
      </c>
      <c r="N3517" s="24">
        <f>H3517</f>
        <v>3200</v>
      </c>
      <c r="O3517" s="24"/>
      <c r="P3517" s="2"/>
      <c r="Q3517" s="2"/>
      <c r="R3517" s="2"/>
    </row>
    <row r="3518" spans="1:18">
      <c r="A3518" s="2"/>
      <c r="B3518" s="2"/>
      <c r="C3518" s="2"/>
      <c r="D3518">
        <v>4</v>
      </c>
      <c r="E3518" t="s">
        <v>15</v>
      </c>
      <c r="F3518" s="6">
        <v>5</v>
      </c>
      <c r="G3518" s="24"/>
      <c r="J3518" s="24"/>
      <c r="K3518" s="24"/>
      <c r="L3518" s="24"/>
      <c r="M3518" s="24"/>
      <c r="N3518" s="24"/>
      <c r="O3518" s="24"/>
      <c r="P3518" s="2"/>
      <c r="Q3518" s="2"/>
      <c r="R3518" s="2"/>
    </row>
    <row r="3519" spans="1:18">
      <c r="D3519" s="2">
        <f>F3519*2+4</f>
        <v>16</v>
      </c>
      <c r="E3519" s="2" t="s">
        <v>4</v>
      </c>
      <c r="F3519" s="24">
        <v>6</v>
      </c>
      <c r="G3519" s="24">
        <f t="shared" ref="G3519:J3520" si="176">K3516</f>
        <v>4300</v>
      </c>
      <c r="H3519" s="24">
        <f t="shared" si="176"/>
        <v>1600</v>
      </c>
      <c r="I3519" s="24">
        <f t="shared" si="176"/>
        <v>4300</v>
      </c>
      <c r="J3519" s="24">
        <f t="shared" si="176"/>
        <v>3200</v>
      </c>
      <c r="K3519" s="24">
        <f>G3519+1000</f>
        <v>5300</v>
      </c>
      <c r="L3519" s="24">
        <f>J3519</f>
        <v>3200</v>
      </c>
      <c r="M3519" s="6">
        <f>K3519</f>
        <v>5300</v>
      </c>
      <c r="N3519" s="6">
        <f>L3519-2000</f>
        <v>1200</v>
      </c>
      <c r="O3519" s="24">
        <f>M3519-2500</f>
        <v>2800</v>
      </c>
      <c r="P3519" s="2">
        <f>N3519</f>
        <v>1200</v>
      </c>
      <c r="Q3519" s="2">
        <f>O3519-400</f>
        <v>2400</v>
      </c>
      <c r="R3519" s="2">
        <f>P3519+400</f>
        <v>1600</v>
      </c>
    </row>
    <row r="3520" spans="1:18">
      <c r="D3520" s="2">
        <f>F3520*2+4</f>
        <v>14</v>
      </c>
      <c r="E3520" s="2" t="s">
        <v>4</v>
      </c>
      <c r="F3520" s="24">
        <v>5</v>
      </c>
      <c r="G3520" s="24">
        <f t="shared" si="176"/>
        <v>11300</v>
      </c>
      <c r="H3520" s="24">
        <f t="shared" si="176"/>
        <v>1600</v>
      </c>
      <c r="I3520" s="24">
        <f t="shared" si="176"/>
        <v>11300</v>
      </c>
      <c r="J3520" s="24">
        <f t="shared" si="176"/>
        <v>3200</v>
      </c>
      <c r="K3520" s="24">
        <f>G3520+1000</f>
        <v>12300</v>
      </c>
      <c r="L3520" s="24">
        <f>J3520</f>
        <v>3200</v>
      </c>
      <c r="M3520" s="6">
        <f>K3520</f>
        <v>12300</v>
      </c>
      <c r="N3520" s="6">
        <f>L3520-2000</f>
        <v>1200</v>
      </c>
      <c r="O3520" s="24">
        <f>M3520-600</f>
        <v>11700</v>
      </c>
      <c r="P3520" s="2">
        <f>N3520</f>
        <v>1200</v>
      </c>
      <c r="Q3520" s="2"/>
      <c r="R3520" s="2"/>
    </row>
    <row r="3522" spans="1:16">
      <c r="A3522" s="1" t="s">
        <v>2</v>
      </c>
      <c r="B3522" s="1" t="s">
        <v>3</v>
      </c>
      <c r="D3522" s="2">
        <v>18</v>
      </c>
      <c r="E3522" s="2" t="s">
        <v>111</v>
      </c>
      <c r="F3522" s="24">
        <v>250</v>
      </c>
      <c r="G3522" s="24">
        <f>A3523-100</f>
        <v>200</v>
      </c>
      <c r="H3522" s="24">
        <f>B3523</f>
        <v>3200</v>
      </c>
      <c r="I3522" s="24">
        <f>G3522+6000</f>
        <v>6200</v>
      </c>
      <c r="J3522" s="24">
        <f>H3522</f>
        <v>3200</v>
      </c>
      <c r="K3522" s="24"/>
      <c r="L3522" s="24"/>
      <c r="O3522" s="36"/>
    </row>
    <row r="3523" spans="1:16">
      <c r="A3523" s="1">
        <v>300</v>
      </c>
      <c r="B3523" s="1">
        <v>3200</v>
      </c>
      <c r="D3523" s="2">
        <v>18</v>
      </c>
      <c r="E3523" s="2" t="s">
        <v>111</v>
      </c>
      <c r="F3523" s="24">
        <v>250</v>
      </c>
      <c r="G3523" s="24">
        <f>A3523</f>
        <v>300</v>
      </c>
      <c r="H3523" s="24">
        <f>B3523+100</f>
        <v>3300</v>
      </c>
      <c r="I3523" s="24">
        <f>G3523</f>
        <v>300</v>
      </c>
      <c r="J3523" s="24">
        <f>H3523-2700</f>
        <v>600</v>
      </c>
      <c r="K3523" s="24"/>
      <c r="L3523" s="36"/>
      <c r="M3523" s="24"/>
      <c r="N3523" s="24"/>
      <c r="O3523" s="24"/>
      <c r="P3523" s="2"/>
    </row>
    <row r="3524" spans="1:16">
      <c r="A3524" s="1" t="s">
        <v>471</v>
      </c>
      <c r="B3524" s="2"/>
      <c r="C3524" s="2"/>
      <c r="D3524" s="2"/>
      <c r="E3524" s="24" t="s">
        <v>517</v>
      </c>
      <c r="F3524" s="6" t="s">
        <v>606</v>
      </c>
      <c r="G3524" s="24">
        <f>A3523-300</f>
        <v>0</v>
      </c>
      <c r="H3524" s="24">
        <f>B3523-3100</f>
        <v>100</v>
      </c>
      <c r="I3524" s="24">
        <f>B3535-3100</f>
        <v>3600</v>
      </c>
      <c r="J3524" s="24">
        <f>B3540-3100</f>
        <v>7100</v>
      </c>
      <c r="M3524" s="24"/>
      <c r="N3524" s="24"/>
      <c r="O3524" s="24"/>
      <c r="P3524" s="2"/>
    </row>
    <row r="3525" spans="1:16">
      <c r="D3525" s="2"/>
      <c r="E3525" s="24" t="s">
        <v>517</v>
      </c>
      <c r="F3525" s="24" t="s">
        <v>607</v>
      </c>
      <c r="G3525" s="24">
        <f>G3524+500</f>
        <v>500</v>
      </c>
      <c r="H3525" s="24">
        <f>H3524+500</f>
        <v>600</v>
      </c>
      <c r="I3525" s="24">
        <f>I3524+500</f>
        <v>4100</v>
      </c>
      <c r="J3525" s="24">
        <f>J3524+500</f>
        <v>7600</v>
      </c>
      <c r="L3525" s="24"/>
      <c r="M3525" s="24"/>
      <c r="N3525" s="24"/>
      <c r="O3525" s="24"/>
      <c r="P3525" s="2"/>
    </row>
    <row r="3526" spans="1:16">
      <c r="D3526" s="2">
        <v>18</v>
      </c>
      <c r="E3526" s="2" t="s">
        <v>111</v>
      </c>
      <c r="F3526" s="24">
        <v>100</v>
      </c>
      <c r="G3526" s="24">
        <f>G3525+350</f>
        <v>850</v>
      </c>
      <c r="H3526" s="24">
        <f>H3525+100</f>
        <v>700</v>
      </c>
      <c r="I3526" s="24">
        <f>G3526</f>
        <v>850</v>
      </c>
      <c r="J3526" s="24">
        <f>H3526+250</f>
        <v>950</v>
      </c>
      <c r="K3526" s="24"/>
      <c r="L3526" s="24"/>
      <c r="O3526" s="24"/>
      <c r="P3526" s="2"/>
    </row>
    <row r="3527" spans="1:16">
      <c r="A3527" s="2"/>
      <c r="B3527" s="2"/>
      <c r="C3527" s="2"/>
      <c r="D3527" s="2">
        <v>18</v>
      </c>
      <c r="E3527" s="2" t="s">
        <v>111</v>
      </c>
      <c r="F3527" s="24">
        <v>100</v>
      </c>
      <c r="G3527" s="24">
        <f>G3525+1000</f>
        <v>1500</v>
      </c>
      <c r="H3527" s="24">
        <f>J3527+250</f>
        <v>950</v>
      </c>
      <c r="I3527" s="24">
        <f>G3527</f>
        <v>1500</v>
      </c>
      <c r="J3527" s="24">
        <f>H3525+100</f>
        <v>700</v>
      </c>
      <c r="K3527" s="24"/>
      <c r="L3527" s="24"/>
      <c r="M3527" s="24"/>
      <c r="N3527" s="24"/>
      <c r="O3527" s="24"/>
      <c r="P3527" s="2"/>
    </row>
    <row r="3528" spans="1:16">
      <c r="A3528" s="1" t="s">
        <v>2</v>
      </c>
      <c r="B3528" s="1" t="s">
        <v>3</v>
      </c>
      <c r="D3528" s="2">
        <v>18</v>
      </c>
      <c r="E3528" s="2" t="s">
        <v>111</v>
      </c>
      <c r="F3528" s="24">
        <v>250</v>
      </c>
      <c r="G3528" s="24">
        <f>A3529-100</f>
        <v>7200</v>
      </c>
      <c r="H3528" s="24">
        <f>B3529</f>
        <v>3200</v>
      </c>
      <c r="I3528" s="24">
        <f>G3528+6000</f>
        <v>13200</v>
      </c>
      <c r="J3528" s="24">
        <f>H3528</f>
        <v>3200</v>
      </c>
      <c r="K3528" s="24"/>
      <c r="L3528" s="24"/>
      <c r="O3528" s="24"/>
      <c r="P3528" s="2"/>
    </row>
    <row r="3529" spans="1:16">
      <c r="A3529" s="1">
        <v>7300</v>
      </c>
      <c r="B3529" s="1">
        <v>3200</v>
      </c>
      <c r="D3529" s="2">
        <v>18</v>
      </c>
      <c r="E3529" s="2" t="s">
        <v>111</v>
      </c>
      <c r="F3529" s="24">
        <v>250</v>
      </c>
      <c r="G3529" s="24">
        <f>A3529</f>
        <v>7300</v>
      </c>
      <c r="H3529" s="24">
        <f>B3529+100</f>
        <v>3300</v>
      </c>
      <c r="I3529" s="24">
        <f>G3529</f>
        <v>7300</v>
      </c>
      <c r="J3529" s="24">
        <f>H3529-2700</f>
        <v>600</v>
      </c>
      <c r="K3529" s="24"/>
      <c r="L3529" s="36"/>
      <c r="M3529" s="24"/>
      <c r="N3529" s="24"/>
      <c r="O3529" s="24"/>
      <c r="P3529" s="2"/>
    </row>
    <row r="3530" spans="1:16">
      <c r="A3530" s="2"/>
      <c r="B3530" s="2"/>
      <c r="C3530" s="2"/>
      <c r="D3530" s="2"/>
      <c r="E3530" s="24" t="s">
        <v>517</v>
      </c>
      <c r="F3530" s="6" t="s">
        <v>608</v>
      </c>
      <c r="G3530" s="24">
        <f>A3529-300</f>
        <v>7000</v>
      </c>
      <c r="H3530" s="24">
        <f>B3529-3100</f>
        <v>100</v>
      </c>
      <c r="I3530" s="24">
        <f>B3537-3100</f>
        <v>3600</v>
      </c>
      <c r="J3530" s="24">
        <f>B3542-3100</f>
        <v>7100</v>
      </c>
      <c r="M3530" s="24"/>
      <c r="N3530" s="24"/>
      <c r="O3530" s="24"/>
      <c r="P3530" s="2"/>
    </row>
    <row r="3531" spans="1:16">
      <c r="D3531" s="2"/>
      <c r="E3531" s="6" t="s">
        <v>517</v>
      </c>
      <c r="F3531" s="24" t="s">
        <v>609</v>
      </c>
      <c r="G3531" s="24">
        <f>G3530+500</f>
        <v>7500</v>
      </c>
      <c r="H3531" s="24">
        <f>H3530+500</f>
        <v>600</v>
      </c>
      <c r="I3531" s="24">
        <f>I3530+500</f>
        <v>4100</v>
      </c>
      <c r="J3531" s="24">
        <f>J3530+500</f>
        <v>7600</v>
      </c>
      <c r="L3531" s="24"/>
      <c r="M3531" s="24"/>
      <c r="N3531" s="24"/>
      <c r="O3531" s="24"/>
      <c r="P3531" s="2"/>
    </row>
    <row r="3532" spans="1:16">
      <c r="D3532" s="2">
        <v>18</v>
      </c>
      <c r="E3532" s="2" t="s">
        <v>111</v>
      </c>
      <c r="F3532" s="24">
        <v>100</v>
      </c>
      <c r="G3532" s="24">
        <f>G3531+350</f>
        <v>7850</v>
      </c>
      <c r="H3532" s="24">
        <f>J3532+250</f>
        <v>950</v>
      </c>
      <c r="I3532" s="24">
        <f>G3532</f>
        <v>7850</v>
      </c>
      <c r="J3532" s="24">
        <f>H3531+100</f>
        <v>700</v>
      </c>
      <c r="K3532" s="24"/>
      <c r="L3532" s="24"/>
      <c r="O3532" s="24"/>
      <c r="P3532" s="2"/>
    </row>
    <row r="3533" spans="1:16">
      <c r="A3533" s="2"/>
      <c r="B3533" s="2"/>
      <c r="C3533" s="2"/>
      <c r="D3533" s="2">
        <v>18</v>
      </c>
      <c r="E3533" s="2" t="s">
        <v>111</v>
      </c>
      <c r="F3533" s="24">
        <v>100</v>
      </c>
      <c r="G3533" s="24">
        <f>G3531+1000</f>
        <v>8500</v>
      </c>
      <c r="H3533" s="24">
        <f>H3531+100</f>
        <v>700</v>
      </c>
      <c r="I3533" s="24">
        <f>G3533</f>
        <v>8500</v>
      </c>
      <c r="J3533" s="24">
        <f>H3533+250</f>
        <v>950</v>
      </c>
      <c r="K3533" s="24"/>
      <c r="L3533" s="24"/>
      <c r="M3533" s="24"/>
      <c r="N3533" s="24"/>
      <c r="O3533" s="24"/>
      <c r="P3533" s="2"/>
    </row>
    <row r="3534" spans="1:16">
      <c r="A3534" s="1" t="s">
        <v>2</v>
      </c>
      <c r="B3534" s="1" t="s">
        <v>3</v>
      </c>
      <c r="D3534" s="2">
        <v>18</v>
      </c>
      <c r="E3534" s="2" t="s">
        <v>111</v>
      </c>
      <c r="F3534" s="24">
        <v>250</v>
      </c>
      <c r="G3534" s="24">
        <f>A3535-100</f>
        <v>200</v>
      </c>
      <c r="H3534" s="24">
        <f>B3535</f>
        <v>6700</v>
      </c>
      <c r="I3534" s="24">
        <f>G3534+6000</f>
        <v>6200</v>
      </c>
      <c r="J3534" s="24">
        <f>H3534</f>
        <v>6700</v>
      </c>
      <c r="K3534" s="24"/>
      <c r="L3534" s="24"/>
      <c r="O3534" s="24"/>
      <c r="P3534" s="2"/>
    </row>
    <row r="3535" spans="1:16">
      <c r="A3535" s="1">
        <v>300</v>
      </c>
      <c r="B3535" s="1">
        <v>6700</v>
      </c>
      <c r="D3535" s="2">
        <v>18</v>
      </c>
      <c r="E3535" s="2" t="s">
        <v>111</v>
      </c>
      <c r="F3535" s="24">
        <v>250</v>
      </c>
      <c r="G3535" s="24">
        <f>A3535</f>
        <v>300</v>
      </c>
      <c r="H3535" s="24">
        <f>B3535+100</f>
        <v>6800</v>
      </c>
      <c r="I3535" s="24">
        <f>G3535</f>
        <v>300</v>
      </c>
      <c r="J3535" s="24">
        <f>H3535-2700</f>
        <v>4100</v>
      </c>
      <c r="K3535" s="24"/>
      <c r="L3535" s="36"/>
      <c r="M3535" s="24"/>
      <c r="N3535" s="24"/>
      <c r="O3535" s="24"/>
      <c r="P3535" s="2"/>
    </row>
    <row r="3536" spans="1:16">
      <c r="A3536" s="1" t="s">
        <v>2</v>
      </c>
      <c r="B3536" s="1" t="s">
        <v>3</v>
      </c>
      <c r="D3536" s="2">
        <v>18</v>
      </c>
      <c r="E3536" s="2" t="s">
        <v>111</v>
      </c>
      <c r="F3536" s="24">
        <v>250</v>
      </c>
      <c r="G3536" s="24">
        <f>A3537-100</f>
        <v>7200</v>
      </c>
      <c r="H3536" s="24">
        <f>B3537</f>
        <v>6700</v>
      </c>
      <c r="I3536" s="24">
        <f>G3536+6000</f>
        <v>13200</v>
      </c>
      <c r="J3536" s="24">
        <f>H3536</f>
        <v>6700</v>
      </c>
      <c r="K3536" s="24"/>
      <c r="L3536" s="24"/>
      <c r="O3536" s="24"/>
      <c r="P3536" s="2"/>
    </row>
    <row r="3537" spans="1:16">
      <c r="A3537" s="1">
        <v>7300</v>
      </c>
      <c r="B3537" s="1">
        <v>6700</v>
      </c>
      <c r="D3537" s="2">
        <v>18</v>
      </c>
      <c r="E3537" s="2" t="s">
        <v>111</v>
      </c>
      <c r="F3537" s="24">
        <v>250</v>
      </c>
      <c r="G3537" s="24">
        <f>A3537</f>
        <v>7300</v>
      </c>
      <c r="H3537" s="24">
        <f>B3537+100</f>
        <v>6800</v>
      </c>
      <c r="I3537" s="24">
        <f>G3537</f>
        <v>7300</v>
      </c>
      <c r="J3537" s="24">
        <f>H3537-2700</f>
        <v>4100</v>
      </c>
      <c r="K3537" s="24"/>
      <c r="L3537" s="36"/>
      <c r="M3537" s="24"/>
      <c r="N3537" s="24"/>
      <c r="O3537" s="24"/>
      <c r="P3537" s="2"/>
    </row>
    <row r="3538" spans="1:16">
      <c r="D3538" s="2">
        <v>18</v>
      </c>
      <c r="E3538" s="2" t="s">
        <v>111</v>
      </c>
      <c r="F3538" s="24">
        <v>100</v>
      </c>
      <c r="G3538" s="24">
        <f>G3531+350</f>
        <v>7850</v>
      </c>
      <c r="H3538" s="24">
        <f>I3531+100</f>
        <v>4200</v>
      </c>
      <c r="I3538" s="24">
        <f>G3538</f>
        <v>7850</v>
      </c>
      <c r="J3538" s="24">
        <f>H3538+250</f>
        <v>4450</v>
      </c>
      <c r="K3538" s="24"/>
      <c r="L3538" s="24"/>
      <c r="O3538" s="24"/>
      <c r="P3538" s="2"/>
    </row>
    <row r="3539" spans="1:16">
      <c r="A3539" s="1" t="s">
        <v>2</v>
      </c>
      <c r="B3539" s="1" t="s">
        <v>3</v>
      </c>
      <c r="D3539" s="2">
        <v>18</v>
      </c>
      <c r="E3539" s="2" t="s">
        <v>111</v>
      </c>
      <c r="F3539" s="24">
        <v>250</v>
      </c>
      <c r="G3539" s="24">
        <f>A3540-100</f>
        <v>200</v>
      </c>
      <c r="H3539" s="24">
        <f>B3540</f>
        <v>10200</v>
      </c>
      <c r="I3539" s="24">
        <f>G3539+6000</f>
        <v>6200</v>
      </c>
      <c r="J3539" s="24">
        <f>H3539</f>
        <v>10200</v>
      </c>
      <c r="K3539" s="24"/>
      <c r="L3539" s="24"/>
      <c r="O3539" s="24"/>
      <c r="P3539" s="2"/>
    </row>
    <row r="3540" spans="1:16">
      <c r="A3540" s="1">
        <v>300</v>
      </c>
      <c r="B3540" s="1">
        <v>10200</v>
      </c>
      <c r="D3540" s="2">
        <v>18</v>
      </c>
      <c r="E3540" s="2" t="s">
        <v>111</v>
      </c>
      <c r="F3540" s="24">
        <v>250</v>
      </c>
      <c r="G3540" s="24">
        <f>A3540</f>
        <v>300</v>
      </c>
      <c r="H3540" s="24">
        <f>B3540+100</f>
        <v>10300</v>
      </c>
      <c r="I3540" s="24">
        <f>G3540</f>
        <v>300</v>
      </c>
      <c r="J3540" s="24">
        <f>H3540-2700</f>
        <v>7600</v>
      </c>
      <c r="K3540" s="24"/>
      <c r="L3540" s="36"/>
      <c r="M3540" s="24"/>
      <c r="N3540" s="24"/>
      <c r="O3540" s="24"/>
      <c r="P3540" s="2"/>
    </row>
    <row r="3541" spans="1:16">
      <c r="A3541" s="1" t="s">
        <v>2</v>
      </c>
      <c r="B3541" s="1" t="s">
        <v>3</v>
      </c>
      <c r="D3541" s="2">
        <v>18</v>
      </c>
      <c r="E3541" s="2" t="s">
        <v>111</v>
      </c>
      <c r="F3541" s="24">
        <v>250</v>
      </c>
      <c r="G3541" s="24">
        <f>A3542-100</f>
        <v>7200</v>
      </c>
      <c r="H3541" s="24">
        <f>B3542</f>
        <v>10200</v>
      </c>
      <c r="I3541" s="24">
        <f>G3541+6000</f>
        <v>13200</v>
      </c>
      <c r="J3541" s="24">
        <f>H3541</f>
        <v>10200</v>
      </c>
      <c r="K3541" s="24"/>
      <c r="L3541" s="24"/>
      <c r="O3541" s="24"/>
      <c r="P3541" s="2"/>
    </row>
    <row r="3542" spans="1:16">
      <c r="A3542" s="1">
        <v>7300</v>
      </c>
      <c r="B3542" s="1">
        <v>10200</v>
      </c>
      <c r="D3542" s="2">
        <v>18</v>
      </c>
      <c r="E3542" s="2" t="s">
        <v>111</v>
      </c>
      <c r="F3542" s="24">
        <v>250</v>
      </c>
      <c r="G3542" s="24">
        <f>A3542</f>
        <v>7300</v>
      </c>
      <c r="H3542" s="24">
        <f>B3542+100</f>
        <v>10300</v>
      </c>
      <c r="I3542" s="24">
        <f>G3542</f>
        <v>7300</v>
      </c>
      <c r="J3542" s="24">
        <f>H3542-2700</f>
        <v>7600</v>
      </c>
      <c r="K3542" s="24"/>
      <c r="L3542" s="36"/>
      <c r="M3542" s="24"/>
      <c r="N3542" s="24"/>
      <c r="O3542" s="24"/>
      <c r="P3542" s="2"/>
    </row>
    <row r="3543" spans="1:16">
      <c r="D3543" s="2">
        <v>18</v>
      </c>
      <c r="E3543" s="2" t="s">
        <v>111</v>
      </c>
      <c r="F3543" s="24">
        <v>100</v>
      </c>
      <c r="G3543" s="24">
        <f>G3531+350</f>
        <v>7850</v>
      </c>
      <c r="H3543" s="24">
        <f>J3531+100</f>
        <v>7700</v>
      </c>
      <c r="I3543" s="24">
        <f>G3543</f>
        <v>7850</v>
      </c>
      <c r="J3543" s="24">
        <f>H3543+250</f>
        <v>7950</v>
      </c>
      <c r="K3543" s="24"/>
      <c r="L3543" s="24"/>
      <c r="O3543" s="24"/>
      <c r="P3543" s="2"/>
    </row>
    <row r="3544" spans="1:16">
      <c r="A3544" s="2"/>
      <c r="B3544" s="2"/>
      <c r="C3544" s="2"/>
      <c r="D3544">
        <v>4</v>
      </c>
      <c r="E3544" t="s">
        <v>15</v>
      </c>
      <c r="F3544" s="6">
        <v>4</v>
      </c>
      <c r="G3544" s="24"/>
      <c r="H3544" s="24"/>
      <c r="I3544" s="24"/>
      <c r="J3544" s="24"/>
      <c r="K3544" s="24"/>
      <c r="L3544" s="24"/>
      <c r="M3544" s="24"/>
      <c r="N3544" s="24"/>
      <c r="O3544" s="24"/>
      <c r="P3544" s="2"/>
    </row>
    <row r="3545" spans="1:16">
      <c r="A3545" s="2"/>
      <c r="B3545" s="2"/>
      <c r="C3545" s="2"/>
      <c r="D3545" s="2">
        <f>F3545*2+4</f>
        <v>12</v>
      </c>
      <c r="E3545" s="2" t="s">
        <v>4</v>
      </c>
      <c r="F3545" s="24">
        <v>4</v>
      </c>
      <c r="G3545" s="24">
        <f>A3537</f>
        <v>7300</v>
      </c>
      <c r="H3545" s="24">
        <f>B3537</f>
        <v>6700</v>
      </c>
      <c r="I3545" s="24">
        <f>G3545+2000</f>
        <v>9300</v>
      </c>
      <c r="J3545" s="24">
        <f>L3545</f>
        <v>6300</v>
      </c>
      <c r="K3545" s="24">
        <f>G3545+5000</f>
        <v>12300</v>
      </c>
      <c r="L3545" s="24">
        <f>H3545-400</f>
        <v>6300</v>
      </c>
      <c r="M3545" s="24">
        <f>K3545</f>
        <v>12300</v>
      </c>
      <c r="N3545" s="24">
        <f>H3545</f>
        <v>6700</v>
      </c>
      <c r="O3545" s="24"/>
      <c r="P3545" s="2"/>
    </row>
    <row r="3546" spans="1:16">
      <c r="D3546" s="2">
        <f>F3546*2+4</f>
        <v>12</v>
      </c>
      <c r="E3546" s="2" t="s">
        <v>4</v>
      </c>
      <c r="F3546" s="24">
        <v>4</v>
      </c>
      <c r="G3546" s="24">
        <f>A3542</f>
        <v>7300</v>
      </c>
      <c r="H3546" s="24">
        <f>B3542</f>
        <v>10200</v>
      </c>
      <c r="I3546" s="24">
        <f>G3546+2000</f>
        <v>9300</v>
      </c>
      <c r="J3546" s="24">
        <f>L3546</f>
        <v>9800</v>
      </c>
      <c r="K3546" s="24">
        <f>G3546+5000</f>
        <v>12300</v>
      </c>
      <c r="L3546" s="24">
        <f>H3546-400</f>
        <v>9800</v>
      </c>
      <c r="M3546" s="24">
        <f>K3546</f>
        <v>12300</v>
      </c>
      <c r="N3546" s="24">
        <f>H3546</f>
        <v>10200</v>
      </c>
      <c r="O3546" s="24"/>
      <c r="P3546" s="2"/>
    </row>
    <row r="3547" spans="1:16">
      <c r="A3547" s="2"/>
      <c r="B3547" s="2"/>
      <c r="C3547" s="2"/>
      <c r="D3547">
        <v>4</v>
      </c>
      <c r="E3547" t="s">
        <v>15</v>
      </c>
      <c r="F3547" s="6">
        <v>3</v>
      </c>
      <c r="G3547" s="24"/>
      <c r="H3547" s="24"/>
      <c r="I3547" s="24"/>
      <c r="J3547" s="24"/>
      <c r="K3547" s="24"/>
      <c r="L3547" s="24"/>
      <c r="M3547" s="24"/>
      <c r="N3547" s="24"/>
      <c r="O3547" s="24"/>
      <c r="P3547" s="2"/>
    </row>
    <row r="3548" spans="1:16">
      <c r="A3548" s="2"/>
      <c r="B3548" s="2"/>
      <c r="C3548" s="2"/>
      <c r="D3548" s="2">
        <f t="shared" ref="D3548:D3553" si="177">F3548*2+4</f>
        <v>12</v>
      </c>
      <c r="E3548" s="2" t="s">
        <v>4</v>
      </c>
      <c r="F3548" s="24">
        <v>4</v>
      </c>
      <c r="G3548" s="24">
        <f>A3523</f>
        <v>300</v>
      </c>
      <c r="H3548" s="24">
        <f>B3523</f>
        <v>3200</v>
      </c>
      <c r="I3548" s="24">
        <f>G3548+400</f>
        <v>700</v>
      </c>
      <c r="J3548" s="24">
        <f t="shared" ref="J3548:J3553" si="178">L3548</f>
        <v>1200</v>
      </c>
      <c r="K3548" s="24">
        <f>G3548+1000</f>
        <v>1300</v>
      </c>
      <c r="L3548" s="24">
        <f>H3548-2000</f>
        <v>1200</v>
      </c>
      <c r="M3548" s="24">
        <f t="shared" ref="M3548:M3553" si="179">K3548</f>
        <v>1300</v>
      </c>
      <c r="N3548" s="24">
        <f t="shared" ref="N3548:N3553" si="180">H3548</f>
        <v>3200</v>
      </c>
      <c r="O3548" s="24"/>
      <c r="P3548" s="2"/>
    </row>
    <row r="3549" spans="1:16">
      <c r="A3549" s="2"/>
      <c r="B3549" s="2"/>
      <c r="C3549" s="2"/>
      <c r="D3549" s="2">
        <f t="shared" si="177"/>
        <v>12</v>
      </c>
      <c r="E3549" s="2" t="s">
        <v>4</v>
      </c>
      <c r="F3549" s="24">
        <v>4</v>
      </c>
      <c r="G3549" s="24">
        <f>A3529</f>
        <v>7300</v>
      </c>
      <c r="H3549" s="24">
        <f>B3529</f>
        <v>3200</v>
      </c>
      <c r="I3549" s="24">
        <f>G3549+2000</f>
        <v>9300</v>
      </c>
      <c r="J3549" s="24">
        <f t="shared" si="178"/>
        <v>2800</v>
      </c>
      <c r="K3549" s="24">
        <f>G3549+5000</f>
        <v>12300</v>
      </c>
      <c r="L3549" s="24">
        <f>H3549-400</f>
        <v>2800</v>
      </c>
      <c r="M3549" s="24">
        <f t="shared" si="179"/>
        <v>12300</v>
      </c>
      <c r="N3549" s="24">
        <f t="shared" si="180"/>
        <v>3200</v>
      </c>
      <c r="O3549" s="24"/>
      <c r="P3549" s="2"/>
    </row>
    <row r="3550" spans="1:16">
      <c r="A3550" s="2"/>
      <c r="B3550" s="2"/>
      <c r="C3550" s="2"/>
      <c r="D3550" s="2">
        <f t="shared" si="177"/>
        <v>12</v>
      </c>
      <c r="E3550" s="2" t="s">
        <v>4</v>
      </c>
      <c r="F3550" s="24">
        <v>4</v>
      </c>
      <c r="G3550" s="24">
        <f>A3535</f>
        <v>300</v>
      </c>
      <c r="H3550" s="24">
        <f>B3535</f>
        <v>6700</v>
      </c>
      <c r="I3550" s="24">
        <f>G3550+400</f>
        <v>700</v>
      </c>
      <c r="J3550" s="24">
        <f t="shared" si="178"/>
        <v>4700</v>
      </c>
      <c r="K3550" s="24">
        <f>G3550+1000</f>
        <v>1300</v>
      </c>
      <c r="L3550" s="24">
        <f>H3550-2000</f>
        <v>4700</v>
      </c>
      <c r="M3550" s="24">
        <f t="shared" si="179"/>
        <v>1300</v>
      </c>
      <c r="N3550" s="24">
        <f t="shared" si="180"/>
        <v>6700</v>
      </c>
      <c r="O3550" s="24"/>
      <c r="P3550" s="2"/>
    </row>
    <row r="3551" spans="1:16">
      <c r="A3551" s="2"/>
      <c r="B3551" s="2"/>
      <c r="C3551" s="2"/>
      <c r="D3551" s="2">
        <f t="shared" si="177"/>
        <v>12</v>
      </c>
      <c r="E3551" s="2" t="s">
        <v>4</v>
      </c>
      <c r="F3551" s="24">
        <v>4</v>
      </c>
      <c r="G3551" s="24">
        <f>A3537</f>
        <v>7300</v>
      </c>
      <c r="H3551" s="24">
        <f>B3537</f>
        <v>6700</v>
      </c>
      <c r="I3551" s="24">
        <f>G3551+1600</f>
        <v>8900</v>
      </c>
      <c r="J3551" s="24">
        <f t="shared" si="178"/>
        <v>6380</v>
      </c>
      <c r="K3551" s="24">
        <f>G3551+4000</f>
        <v>11300</v>
      </c>
      <c r="L3551" s="24">
        <f>H3551-320</f>
        <v>6380</v>
      </c>
      <c r="M3551" s="24">
        <f t="shared" si="179"/>
        <v>11300</v>
      </c>
      <c r="N3551" s="24">
        <f t="shared" si="180"/>
        <v>6700</v>
      </c>
      <c r="O3551" s="24"/>
      <c r="P3551" s="2"/>
    </row>
    <row r="3552" spans="1:16">
      <c r="A3552" s="2"/>
      <c r="B3552" s="2"/>
      <c r="C3552" s="2"/>
      <c r="D3552" s="2">
        <f t="shared" si="177"/>
        <v>12</v>
      </c>
      <c r="E3552" s="2" t="s">
        <v>4</v>
      </c>
      <c r="F3552" s="24">
        <v>4</v>
      </c>
      <c r="G3552" s="24">
        <f>A3540+1000</f>
        <v>1300</v>
      </c>
      <c r="H3552" s="24">
        <f>B3540-80</f>
        <v>10120</v>
      </c>
      <c r="I3552" s="24">
        <f>G3552+400</f>
        <v>1700</v>
      </c>
      <c r="J3552" s="24">
        <f t="shared" si="178"/>
        <v>8120</v>
      </c>
      <c r="K3552" s="24">
        <f>G3552+1000</f>
        <v>2300</v>
      </c>
      <c r="L3552" s="24">
        <f>H3552-2000</f>
        <v>8120</v>
      </c>
      <c r="M3552" s="24">
        <f t="shared" si="179"/>
        <v>2300</v>
      </c>
      <c r="N3552" s="24">
        <f t="shared" si="180"/>
        <v>10120</v>
      </c>
      <c r="O3552" s="24"/>
      <c r="P3552" s="2"/>
    </row>
    <row r="3553" spans="1:16">
      <c r="A3553" s="2"/>
      <c r="B3553" s="2"/>
      <c r="C3553" s="2"/>
      <c r="D3553" s="2">
        <f t="shared" si="177"/>
        <v>12</v>
      </c>
      <c r="E3553" s="2" t="s">
        <v>4</v>
      </c>
      <c r="F3553" s="24">
        <v>4</v>
      </c>
      <c r="G3553" s="24">
        <f>A3542</f>
        <v>7300</v>
      </c>
      <c r="H3553" s="24">
        <f>B3542</f>
        <v>10200</v>
      </c>
      <c r="I3553" s="24">
        <f>G3553+1600</f>
        <v>8900</v>
      </c>
      <c r="J3553" s="24">
        <f t="shared" si="178"/>
        <v>9880</v>
      </c>
      <c r="K3553" s="24">
        <f>G3553+4000</f>
        <v>11300</v>
      </c>
      <c r="L3553" s="24">
        <f>H3553-320</f>
        <v>9880</v>
      </c>
      <c r="M3553" s="24">
        <f t="shared" si="179"/>
        <v>11300</v>
      </c>
      <c r="N3553" s="24">
        <f t="shared" si="180"/>
        <v>10200</v>
      </c>
      <c r="O3553" s="24"/>
      <c r="P3553" s="2"/>
    </row>
    <row r="3554" spans="1:16">
      <c r="A3554" s="2"/>
      <c r="B3554" s="2"/>
      <c r="C3554" s="2"/>
      <c r="D3554">
        <v>4</v>
      </c>
      <c r="E3554" t="s">
        <v>15</v>
      </c>
      <c r="F3554" s="6">
        <v>5</v>
      </c>
      <c r="G3554" s="24"/>
      <c r="H3554" s="24"/>
      <c r="I3554" s="24"/>
      <c r="J3554" s="24"/>
      <c r="K3554" s="24"/>
      <c r="L3554" s="24"/>
      <c r="M3554" s="24"/>
      <c r="N3554" s="24"/>
      <c r="O3554" s="24"/>
      <c r="P3554" s="2"/>
    </row>
    <row r="3555" spans="1:16">
      <c r="A3555" s="2"/>
      <c r="B3555" s="2"/>
      <c r="C3555" s="2"/>
      <c r="D3555" s="2">
        <f>F3555*2+4</f>
        <v>14</v>
      </c>
      <c r="E3555" s="2" t="s">
        <v>4</v>
      </c>
      <c r="F3555" s="24">
        <v>5</v>
      </c>
      <c r="G3555" s="24">
        <f>K3550</f>
        <v>1300</v>
      </c>
      <c r="H3555" s="24">
        <f>L3550</f>
        <v>4700</v>
      </c>
      <c r="I3555" s="24">
        <f>G3555+400</f>
        <v>1700</v>
      </c>
      <c r="J3555" s="24">
        <f>L3555</f>
        <v>4620</v>
      </c>
      <c r="K3555" s="24">
        <f>G3555+1000</f>
        <v>2300</v>
      </c>
      <c r="L3555" s="24">
        <f>H3555-80</f>
        <v>4620</v>
      </c>
      <c r="M3555" s="24">
        <f>K3555</f>
        <v>2300</v>
      </c>
      <c r="N3555" s="24">
        <f>H3550</f>
        <v>6700</v>
      </c>
      <c r="O3555" s="24">
        <f>G3555</f>
        <v>1300</v>
      </c>
      <c r="P3555" s="2">
        <f>N3555</f>
        <v>6700</v>
      </c>
    </row>
    <row r="3556" spans="1:16">
      <c r="A3556" s="2"/>
      <c r="B3556" s="2"/>
      <c r="C3556" s="2"/>
      <c r="D3556" s="2">
        <f>F3556*2+4</f>
        <v>8</v>
      </c>
      <c r="E3556" s="2" t="s">
        <v>1</v>
      </c>
      <c r="F3556" s="24">
        <v>2</v>
      </c>
      <c r="G3556" s="24">
        <f>G3555</f>
        <v>1300</v>
      </c>
      <c r="H3556" s="6">
        <f>H3555</f>
        <v>4700</v>
      </c>
      <c r="I3556" s="6">
        <f>K3555</f>
        <v>2300</v>
      </c>
      <c r="J3556" s="24">
        <f>H3556</f>
        <v>4700</v>
      </c>
      <c r="K3556" s="24"/>
      <c r="L3556" s="24"/>
      <c r="M3556" s="24"/>
      <c r="N3556" s="24"/>
      <c r="O3556" s="24"/>
      <c r="P3556" s="2"/>
    </row>
    <row r="3557" spans="1:16">
      <c r="D3557" s="2">
        <f>F3557*2+4</f>
        <v>12</v>
      </c>
      <c r="E3557" s="2" t="s">
        <v>4</v>
      </c>
      <c r="F3557" s="24">
        <v>4</v>
      </c>
      <c r="G3557" s="24">
        <f>A3540</f>
        <v>300</v>
      </c>
      <c r="H3557" s="6">
        <f>B3540</f>
        <v>10200</v>
      </c>
      <c r="I3557" s="24">
        <f>G3557+400</f>
        <v>700</v>
      </c>
      <c r="J3557" s="24">
        <f>L3557</f>
        <v>10120</v>
      </c>
      <c r="K3557" s="24">
        <f>G3557+2000</f>
        <v>2300</v>
      </c>
      <c r="L3557" s="24">
        <f>H3557-80</f>
        <v>10120</v>
      </c>
      <c r="M3557" s="24">
        <f>K3557</f>
        <v>2300</v>
      </c>
      <c r="N3557" s="24">
        <f>H3557</f>
        <v>10200</v>
      </c>
      <c r="O3557" s="24"/>
      <c r="P3557" s="2"/>
    </row>
    <row r="3558" spans="1:16">
      <c r="D3558" s="2">
        <f>F3558*2+4</f>
        <v>8</v>
      </c>
      <c r="E3558" s="2" t="s">
        <v>1</v>
      </c>
      <c r="F3558" s="24">
        <v>2</v>
      </c>
      <c r="G3558" s="24">
        <f>G3552</f>
        <v>1300</v>
      </c>
      <c r="H3558" s="24">
        <f>L3557</f>
        <v>10120</v>
      </c>
      <c r="I3558" s="24">
        <f>G3558</f>
        <v>1300</v>
      </c>
      <c r="J3558" s="6">
        <f>N3557</f>
        <v>10200</v>
      </c>
      <c r="K3558" s="24"/>
      <c r="L3558" s="24"/>
      <c r="O3558" s="24"/>
      <c r="P3558" s="2"/>
    </row>
    <row r="3560" spans="1:16">
      <c r="A3560" s="1" t="s">
        <v>2</v>
      </c>
      <c r="B3560" s="1" t="s">
        <v>3</v>
      </c>
      <c r="D3560" s="2">
        <v>18</v>
      </c>
      <c r="E3560" s="2" t="s">
        <v>111</v>
      </c>
      <c r="F3560" s="24">
        <v>250</v>
      </c>
      <c r="G3560" s="24">
        <f>A3561-100</f>
        <v>200</v>
      </c>
      <c r="H3560" s="24">
        <f>B3561</f>
        <v>3200</v>
      </c>
      <c r="I3560" s="24">
        <f>G3560+6000</f>
        <v>6200</v>
      </c>
      <c r="J3560" s="24">
        <f>H3560</f>
        <v>3200</v>
      </c>
      <c r="K3560" s="24"/>
      <c r="L3560" s="24"/>
    </row>
    <row r="3561" spans="1:16">
      <c r="A3561" s="1">
        <v>300</v>
      </c>
      <c r="B3561" s="1">
        <v>3200</v>
      </c>
      <c r="D3561" s="2">
        <v>18</v>
      </c>
      <c r="E3561" s="2" t="s">
        <v>111</v>
      </c>
      <c r="F3561" s="24">
        <v>250</v>
      </c>
      <c r="G3561" s="24">
        <f>A3561</f>
        <v>300</v>
      </c>
      <c r="H3561" s="24">
        <f>B3561+100</f>
        <v>3300</v>
      </c>
      <c r="I3561" s="24">
        <f>G3561</f>
        <v>300</v>
      </c>
      <c r="J3561" s="24">
        <f>H3561-2700</f>
        <v>600</v>
      </c>
      <c r="K3561" s="24"/>
      <c r="L3561" s="36"/>
      <c r="M3561" s="24"/>
      <c r="N3561" s="24"/>
    </row>
    <row r="3562" spans="1:16">
      <c r="A3562" s="2" t="s">
        <v>474</v>
      </c>
      <c r="B3562" s="2"/>
      <c r="C3562" s="2"/>
      <c r="D3562" s="2">
        <f>ROUNDUP(6+F3562/2,0)</f>
        <v>22</v>
      </c>
      <c r="E3562" s="2" t="s">
        <v>6</v>
      </c>
      <c r="F3562" s="24">
        <f>LEN(G3562)</f>
        <v>31</v>
      </c>
      <c r="G3562" s="24" t="s">
        <v>472</v>
      </c>
      <c r="H3562" s="24">
        <f>B3561-3100</f>
        <v>100</v>
      </c>
      <c r="I3562" s="24">
        <f>A3561-300</f>
        <v>0</v>
      </c>
      <c r="J3562" s="24"/>
      <c r="M3562" s="24"/>
      <c r="N3562" s="24"/>
    </row>
    <row r="3563" spans="1:16">
      <c r="D3563" s="2">
        <f>ROUNDUP(6+F3563/2,0)</f>
        <v>7</v>
      </c>
      <c r="E3563" s="2" t="s">
        <v>6</v>
      </c>
      <c r="F3563" s="24">
        <f>LEN(G3563)</f>
        <v>1</v>
      </c>
      <c r="G3563" s="24" t="s">
        <v>21</v>
      </c>
      <c r="H3563" s="24">
        <f>H3562+500</f>
        <v>600</v>
      </c>
      <c r="I3563" s="24">
        <f>I3562+500</f>
        <v>500</v>
      </c>
      <c r="K3563" s="24"/>
      <c r="L3563" s="24"/>
      <c r="M3563" s="24"/>
      <c r="N3563" s="24"/>
    </row>
    <row r="3564" spans="1:16">
      <c r="D3564" s="2">
        <v>18</v>
      </c>
      <c r="E3564" s="2" t="s">
        <v>111</v>
      </c>
      <c r="F3564" s="24">
        <v>100</v>
      </c>
      <c r="G3564" s="24">
        <f>I3563+350</f>
        <v>850</v>
      </c>
      <c r="H3564" s="24">
        <f>H3563+100</f>
        <v>700</v>
      </c>
      <c r="I3564" s="24">
        <f>G3564</f>
        <v>850</v>
      </c>
      <c r="J3564" s="24">
        <f>H3564+250</f>
        <v>950</v>
      </c>
      <c r="K3564" s="24"/>
      <c r="L3564" s="24"/>
    </row>
    <row r="3565" spans="1:16">
      <c r="A3565" s="1" t="s">
        <v>2</v>
      </c>
      <c r="B3565" s="1" t="s">
        <v>3</v>
      </c>
      <c r="D3565" s="2">
        <v>18</v>
      </c>
      <c r="E3565" s="2" t="s">
        <v>111</v>
      </c>
      <c r="F3565" s="24">
        <v>250</v>
      </c>
      <c r="G3565" s="24">
        <f>A3566-100</f>
        <v>7200</v>
      </c>
      <c r="H3565" s="24">
        <f>B3566</f>
        <v>3200</v>
      </c>
      <c r="I3565" s="24">
        <f>G3565+6000</f>
        <v>13200</v>
      </c>
      <c r="J3565" s="24">
        <f>H3565</f>
        <v>3200</v>
      </c>
      <c r="K3565" s="24"/>
      <c r="L3565" s="24"/>
    </row>
    <row r="3566" spans="1:16">
      <c r="A3566" s="1">
        <v>7300</v>
      </c>
      <c r="B3566" s="1">
        <v>3200</v>
      </c>
      <c r="D3566" s="2">
        <v>18</v>
      </c>
      <c r="E3566" s="2" t="s">
        <v>111</v>
      </c>
      <c r="F3566" s="24">
        <v>250</v>
      </c>
      <c r="G3566" s="24">
        <f>A3566</f>
        <v>7300</v>
      </c>
      <c r="H3566" s="24">
        <f>B3566+100</f>
        <v>3300</v>
      </c>
      <c r="I3566" s="24">
        <f>G3566</f>
        <v>7300</v>
      </c>
      <c r="J3566" s="24">
        <f>H3566-2700</f>
        <v>600</v>
      </c>
      <c r="K3566" s="24"/>
      <c r="L3566" s="36"/>
      <c r="M3566" s="24"/>
      <c r="N3566" s="24"/>
    </row>
    <row r="3567" spans="1:16">
      <c r="A3567" s="2"/>
      <c r="B3567" s="2"/>
      <c r="C3567" s="2"/>
      <c r="D3567" s="2">
        <f>ROUNDUP(6+F3567/2,0)</f>
        <v>23</v>
      </c>
      <c r="E3567" s="2" t="s">
        <v>6</v>
      </c>
      <c r="F3567" s="24">
        <f>LEN(G3567)</f>
        <v>34</v>
      </c>
      <c r="G3567" s="24" t="s">
        <v>473</v>
      </c>
      <c r="H3567" s="24">
        <f>B3566-3100</f>
        <v>100</v>
      </c>
      <c r="I3567" s="24">
        <f>A3566-300</f>
        <v>7000</v>
      </c>
      <c r="J3567" s="24"/>
      <c r="M3567" s="24"/>
      <c r="N3567" s="24"/>
    </row>
    <row r="3568" spans="1:16">
      <c r="D3568" s="2">
        <f>ROUNDUP(6+F3568/2,0)</f>
        <v>7</v>
      </c>
      <c r="E3568" s="2" t="s">
        <v>6</v>
      </c>
      <c r="F3568" s="24">
        <f>LEN(G3568)</f>
        <v>1</v>
      </c>
      <c r="G3568" s="24" t="s">
        <v>21</v>
      </c>
      <c r="H3568" s="24">
        <f>H3567+500</f>
        <v>600</v>
      </c>
      <c r="I3568" s="24">
        <f>I3567+500</f>
        <v>7500</v>
      </c>
      <c r="K3568" s="24"/>
      <c r="L3568" s="24"/>
      <c r="M3568" s="24"/>
      <c r="N3568" s="24"/>
    </row>
    <row r="3569" spans="1:14">
      <c r="D3569" s="2">
        <v>18</v>
      </c>
      <c r="E3569" s="2" t="s">
        <v>111</v>
      </c>
      <c r="F3569" s="24">
        <v>100</v>
      </c>
      <c r="G3569" s="24">
        <f>I3568+350</f>
        <v>7850</v>
      </c>
      <c r="H3569" s="24">
        <f>J3569+250</f>
        <v>950</v>
      </c>
      <c r="I3569" s="24">
        <f>G3569</f>
        <v>7850</v>
      </c>
      <c r="J3569" s="24">
        <f>H3568+100</f>
        <v>700</v>
      </c>
      <c r="K3569" s="24"/>
      <c r="L3569" s="24"/>
    </row>
    <row r="3570" spans="1:14">
      <c r="A3570" s="1"/>
      <c r="B3570" s="1"/>
      <c r="D3570">
        <v>4</v>
      </c>
      <c r="E3570" t="s">
        <v>15</v>
      </c>
      <c r="F3570" s="6">
        <v>4</v>
      </c>
      <c r="G3570" s="24"/>
      <c r="H3570" s="24"/>
      <c r="I3570" s="24"/>
      <c r="J3570" s="24"/>
      <c r="K3570" s="24"/>
      <c r="L3570" s="24"/>
      <c r="M3570" s="24"/>
      <c r="N3570" s="24"/>
    </row>
    <row r="3571" spans="1:14">
      <c r="A3571" s="2"/>
      <c r="B3571" s="2"/>
      <c r="C3571" s="2"/>
      <c r="D3571" s="2">
        <f>F3571*2+4</f>
        <v>12</v>
      </c>
      <c r="E3571" s="2" t="s">
        <v>4</v>
      </c>
      <c r="F3571" s="24">
        <v>4</v>
      </c>
      <c r="G3571" s="24">
        <f>A3561</f>
        <v>300</v>
      </c>
      <c r="H3571" s="24">
        <f>B3561</f>
        <v>3200</v>
      </c>
      <c r="I3571" s="24">
        <f>G3571+2000</f>
        <v>2300</v>
      </c>
      <c r="J3571" s="24">
        <f>L3571</f>
        <v>1200</v>
      </c>
      <c r="K3571" s="24">
        <f>G3571+5000</f>
        <v>5300</v>
      </c>
      <c r="L3571" s="24">
        <f>H3571-2000</f>
        <v>1200</v>
      </c>
      <c r="M3571" s="6">
        <f>K3571</f>
        <v>5300</v>
      </c>
      <c r="N3571" s="6">
        <f>H3571</f>
        <v>3200</v>
      </c>
    </row>
    <row r="3572" spans="1:14">
      <c r="A3572" s="2"/>
      <c r="B3572" s="2"/>
      <c r="C3572" s="2"/>
      <c r="D3572">
        <v>4</v>
      </c>
      <c r="E3572" t="s">
        <v>15</v>
      </c>
      <c r="F3572" s="6">
        <v>5</v>
      </c>
      <c r="G3572" s="24"/>
      <c r="H3572" s="24"/>
      <c r="I3572" s="24"/>
      <c r="J3572" s="24"/>
      <c r="K3572" s="24"/>
      <c r="L3572" s="24"/>
      <c r="M3572" s="24"/>
      <c r="N3572" s="24"/>
    </row>
    <row r="3573" spans="1:14">
      <c r="A3573" s="2"/>
      <c r="B3573" s="2"/>
      <c r="C3573" s="2"/>
      <c r="D3573" s="2">
        <f>F3573*2+4</f>
        <v>12</v>
      </c>
      <c r="E3573" s="2" t="s">
        <v>4</v>
      </c>
      <c r="F3573" s="24">
        <v>4</v>
      </c>
      <c r="G3573" s="24">
        <f>G3575</f>
        <v>7300</v>
      </c>
      <c r="H3573" s="24">
        <f>H3575</f>
        <v>3200</v>
      </c>
      <c r="I3573" s="24">
        <f>G3573+2000</f>
        <v>9300</v>
      </c>
      <c r="J3573" s="24">
        <f>L3573</f>
        <v>600</v>
      </c>
      <c r="K3573" s="24">
        <f>G3573+5000</f>
        <v>12300</v>
      </c>
      <c r="L3573" s="24">
        <f>H3573-2600</f>
        <v>600</v>
      </c>
      <c r="M3573" s="6">
        <f>K3573</f>
        <v>12300</v>
      </c>
      <c r="N3573" s="6">
        <f>H3573</f>
        <v>3200</v>
      </c>
    </row>
    <row r="3574" spans="1:14">
      <c r="A3574" s="2"/>
      <c r="B3574" s="2"/>
      <c r="C3574" s="2"/>
      <c r="D3574">
        <v>4</v>
      </c>
      <c r="E3574" t="s">
        <v>15</v>
      </c>
      <c r="F3574" s="6">
        <v>3</v>
      </c>
      <c r="G3574" s="24"/>
      <c r="H3574" s="24"/>
      <c r="I3574" s="24"/>
      <c r="J3574" s="24"/>
      <c r="K3574" s="24"/>
      <c r="L3574" s="24"/>
      <c r="M3574" s="24"/>
      <c r="N3574" s="24"/>
    </row>
    <row r="3575" spans="1:14">
      <c r="A3575" s="2"/>
      <c r="B3575" s="2"/>
      <c r="C3575" s="2"/>
      <c r="D3575" s="2">
        <f>F3575*2+4</f>
        <v>12</v>
      </c>
      <c r="E3575" s="2" t="s">
        <v>4</v>
      </c>
      <c r="F3575" s="24">
        <v>4</v>
      </c>
      <c r="G3575" s="24">
        <f>A3566</f>
        <v>7300</v>
      </c>
      <c r="H3575" s="24">
        <f>B3566</f>
        <v>3200</v>
      </c>
      <c r="I3575" s="24">
        <f>G3575+2000</f>
        <v>9300</v>
      </c>
      <c r="J3575" s="24">
        <f>L3575</f>
        <v>1200</v>
      </c>
      <c r="K3575" s="24">
        <f>G3575+5000</f>
        <v>12300</v>
      </c>
      <c r="L3575" s="24">
        <f>H3575-2000</f>
        <v>1200</v>
      </c>
      <c r="M3575" s="6">
        <f>K3575</f>
        <v>12300</v>
      </c>
      <c r="N3575" s="6">
        <f>H3575</f>
        <v>3200</v>
      </c>
    </row>
    <row r="3576" spans="1:14">
      <c r="A3576" s="2"/>
      <c r="B3576" s="2"/>
      <c r="C3576" s="2"/>
      <c r="D3576" s="2">
        <f>F3576*2+4</f>
        <v>12</v>
      </c>
      <c r="E3576" s="2" t="s">
        <v>4</v>
      </c>
      <c r="F3576" s="24">
        <v>4</v>
      </c>
      <c r="G3576" s="24">
        <f>G3571</f>
        <v>300</v>
      </c>
      <c r="H3576" s="24">
        <f>H3571</f>
        <v>3200</v>
      </c>
      <c r="I3576" s="24">
        <f>G3576+2000</f>
        <v>2300</v>
      </c>
      <c r="J3576" s="24">
        <f>L3576</f>
        <v>1800</v>
      </c>
      <c r="K3576" s="24">
        <f>G3576+5000</f>
        <v>5300</v>
      </c>
      <c r="L3576" s="24">
        <f>H3576-1400</f>
        <v>1800</v>
      </c>
      <c r="M3576" s="6">
        <f>K3576</f>
        <v>5300</v>
      </c>
      <c r="N3576" s="6">
        <f>H3576</f>
        <v>3200</v>
      </c>
    </row>
    <row r="3578" spans="1:14">
      <c r="A3578" s="1" t="s">
        <v>2</v>
      </c>
      <c r="B3578" s="1" t="s">
        <v>3</v>
      </c>
      <c r="D3578" s="2">
        <v>18</v>
      </c>
      <c r="E3578" s="2" t="s">
        <v>111</v>
      </c>
      <c r="F3578" s="24">
        <v>250</v>
      </c>
      <c r="G3578" s="24">
        <f>A3579-100</f>
        <v>200</v>
      </c>
      <c r="H3578" s="24">
        <f>B3579</f>
        <v>3200</v>
      </c>
      <c r="I3578" s="24">
        <f>G3578+6000</f>
        <v>6200</v>
      </c>
      <c r="J3578" s="24">
        <f>H3578</f>
        <v>3200</v>
      </c>
      <c r="K3578" s="24"/>
      <c r="L3578" s="24"/>
    </row>
    <row r="3579" spans="1:14">
      <c r="A3579" s="1">
        <v>300</v>
      </c>
      <c r="B3579" s="1">
        <v>3200</v>
      </c>
      <c r="D3579" s="2">
        <v>18</v>
      </c>
      <c r="E3579" s="2" t="s">
        <v>111</v>
      </c>
      <c r="F3579" s="24">
        <v>250</v>
      </c>
      <c r="G3579" s="24">
        <f>A3579</f>
        <v>300</v>
      </c>
      <c r="H3579" s="24">
        <f>B3579+100</f>
        <v>3300</v>
      </c>
      <c r="I3579" s="24">
        <f>G3579</f>
        <v>300</v>
      </c>
      <c r="J3579" s="24">
        <f>H3579-2700</f>
        <v>600</v>
      </c>
      <c r="K3579" s="24"/>
      <c r="L3579" s="36"/>
      <c r="M3579" s="24"/>
      <c r="N3579" s="24"/>
    </row>
    <row r="3580" spans="1:14">
      <c r="A3580" s="2" t="s">
        <v>478</v>
      </c>
      <c r="D3580" s="2">
        <f>ROUNDUP(6+F3580/2,0)</f>
        <v>9</v>
      </c>
      <c r="E3580" s="2" t="s">
        <v>6</v>
      </c>
      <c r="F3580" s="24">
        <f>LEN(G3580)</f>
        <v>5</v>
      </c>
      <c r="G3580" s="24" t="s">
        <v>475</v>
      </c>
      <c r="H3580" s="24">
        <f>H3599+500</f>
        <v>600</v>
      </c>
      <c r="I3580" s="24">
        <f>I3599+500</f>
        <v>500</v>
      </c>
      <c r="J3580" s="24"/>
      <c r="K3580" s="24"/>
      <c r="L3580" s="24"/>
      <c r="M3580" s="24"/>
      <c r="N3580" s="24"/>
    </row>
    <row r="3581" spans="1:14">
      <c r="D3581" s="2">
        <v>18</v>
      </c>
      <c r="E3581" s="2" t="s">
        <v>111</v>
      </c>
      <c r="F3581" s="24">
        <v>100</v>
      </c>
      <c r="G3581" s="24">
        <f>I3580+350</f>
        <v>850</v>
      </c>
      <c r="H3581" s="24">
        <f>J3581+250</f>
        <v>950</v>
      </c>
      <c r="I3581" s="24">
        <f>G3581</f>
        <v>850</v>
      </c>
      <c r="J3581" s="24">
        <f>H3580+100</f>
        <v>700</v>
      </c>
      <c r="K3581" s="24"/>
      <c r="L3581" s="24"/>
    </row>
    <row r="3582" spans="1:14">
      <c r="A3582" s="2"/>
      <c r="B3582" s="2"/>
      <c r="C3582" s="2"/>
      <c r="D3582" s="2">
        <v>18</v>
      </c>
      <c r="E3582" s="2" t="s">
        <v>111</v>
      </c>
      <c r="F3582" s="24">
        <v>100</v>
      </c>
      <c r="G3582" s="24">
        <f>I3580+900</f>
        <v>1400</v>
      </c>
      <c r="H3582" s="24">
        <f>H3580+100</f>
        <v>700</v>
      </c>
      <c r="I3582" s="24">
        <f>G3582</f>
        <v>1400</v>
      </c>
      <c r="J3582" s="24">
        <f>H3582+250</f>
        <v>950</v>
      </c>
      <c r="K3582" s="24"/>
      <c r="L3582" s="24"/>
      <c r="M3582" s="24"/>
      <c r="N3582" s="24"/>
    </row>
    <row r="3583" spans="1:14">
      <c r="A3583" s="1" t="s">
        <v>2</v>
      </c>
      <c r="B3583" s="1" t="s">
        <v>3</v>
      </c>
      <c r="D3583" s="2">
        <v>18</v>
      </c>
      <c r="E3583" s="2" t="s">
        <v>111</v>
      </c>
      <c r="F3583" s="24">
        <v>250</v>
      </c>
      <c r="G3583" s="24">
        <f>A3584-100</f>
        <v>7200</v>
      </c>
      <c r="H3583" s="24">
        <f>B3584</f>
        <v>3200</v>
      </c>
      <c r="I3583" s="24">
        <f>G3583+7800</f>
        <v>15000</v>
      </c>
      <c r="J3583" s="24">
        <f>H3583</f>
        <v>3200</v>
      </c>
      <c r="K3583" s="24"/>
      <c r="L3583" s="24"/>
    </row>
    <row r="3584" spans="1:14">
      <c r="A3584" s="1">
        <v>7300</v>
      </c>
      <c r="B3584" s="1">
        <v>3200</v>
      </c>
      <c r="D3584" s="2">
        <v>18</v>
      </c>
      <c r="E3584" s="2" t="s">
        <v>111</v>
      </c>
      <c r="F3584" s="24">
        <v>250</v>
      </c>
      <c r="G3584" s="24">
        <f>A3584</f>
        <v>7300</v>
      </c>
      <c r="H3584" s="24">
        <f>B3584+100</f>
        <v>3300</v>
      </c>
      <c r="I3584" s="24">
        <f>G3584</f>
        <v>7300</v>
      </c>
      <c r="J3584" s="24">
        <f>H3584-2700</f>
        <v>600</v>
      </c>
      <c r="K3584" s="24"/>
      <c r="L3584" s="36"/>
      <c r="M3584" s="24"/>
      <c r="N3584" s="24"/>
    </row>
    <row r="3585" spans="1:14">
      <c r="A3585" s="2"/>
      <c r="B3585" s="2"/>
      <c r="C3585" s="2"/>
      <c r="D3585" s="2">
        <f>ROUNDUP(6+F3585/2,0)</f>
        <v>15</v>
      </c>
      <c r="E3585" s="2" t="s">
        <v>6</v>
      </c>
      <c r="F3585" s="24">
        <f>LEN(G3585)</f>
        <v>18</v>
      </c>
      <c r="G3585" s="24" t="s">
        <v>477</v>
      </c>
      <c r="H3585" s="24">
        <f>B3584-3100</f>
        <v>100</v>
      </c>
      <c r="I3585" s="24">
        <f>A3584-300</f>
        <v>7000</v>
      </c>
      <c r="J3585" s="24"/>
      <c r="M3585" s="24"/>
      <c r="N3585" s="24"/>
    </row>
    <row r="3586" spans="1:14">
      <c r="D3586" s="2">
        <f>ROUNDUP(6+F3586/2,0)</f>
        <v>9</v>
      </c>
      <c r="E3586" s="2" t="s">
        <v>6</v>
      </c>
      <c r="F3586" s="24">
        <f>LEN(G3586)</f>
        <v>5</v>
      </c>
      <c r="G3586" s="24" t="s">
        <v>475</v>
      </c>
      <c r="H3586" s="24">
        <f>H3585+500</f>
        <v>600</v>
      </c>
      <c r="I3586" s="24">
        <f>I3585+500</f>
        <v>7500</v>
      </c>
      <c r="J3586" s="24"/>
      <c r="K3586" s="24"/>
      <c r="L3586" s="24"/>
      <c r="M3586" s="24"/>
      <c r="N3586" s="24"/>
    </row>
    <row r="3587" spans="1:14">
      <c r="D3587" s="2">
        <v>18</v>
      </c>
      <c r="E3587" s="2" t="s">
        <v>111</v>
      </c>
      <c r="F3587" s="24">
        <v>100</v>
      </c>
      <c r="G3587" s="24">
        <f>I3586+350</f>
        <v>7850</v>
      </c>
      <c r="H3587" s="24">
        <f>H3586+100</f>
        <v>700</v>
      </c>
      <c r="I3587" s="24">
        <f>G3587</f>
        <v>7850</v>
      </c>
      <c r="J3587" s="24">
        <f>H3587+250</f>
        <v>950</v>
      </c>
      <c r="K3587" s="24"/>
      <c r="L3587" s="24"/>
    </row>
    <row r="3588" spans="1:14">
      <c r="A3588" s="1"/>
      <c r="B3588" s="1"/>
      <c r="D3588" s="2">
        <v>18</v>
      </c>
      <c r="E3588" s="2" t="s">
        <v>111</v>
      </c>
      <c r="F3588" s="24">
        <v>100</v>
      </c>
      <c r="G3588" s="24">
        <f>I3586+900</f>
        <v>8400</v>
      </c>
      <c r="H3588" s="24">
        <f>J3588+250</f>
        <v>950</v>
      </c>
      <c r="I3588" s="24">
        <f>G3588</f>
        <v>8400</v>
      </c>
      <c r="J3588" s="24">
        <f>H3586+100</f>
        <v>700</v>
      </c>
      <c r="K3588" s="24"/>
      <c r="L3588" s="24"/>
      <c r="M3588" s="24"/>
      <c r="N3588" s="24"/>
    </row>
    <row r="3589" spans="1:14">
      <c r="A3589" s="2"/>
      <c r="B3589" s="2"/>
      <c r="C3589" s="2"/>
      <c r="D3589">
        <v>4</v>
      </c>
      <c r="E3589" t="s">
        <v>15</v>
      </c>
      <c r="F3589" s="6">
        <v>5</v>
      </c>
      <c r="G3589" s="24"/>
      <c r="H3589" s="24"/>
      <c r="I3589" s="24"/>
      <c r="J3589" s="24"/>
      <c r="K3589" s="24"/>
      <c r="L3589" s="24"/>
      <c r="M3589" s="24"/>
      <c r="N3589" s="24"/>
    </row>
    <row r="3590" spans="1:14">
      <c r="A3590" s="2"/>
      <c r="B3590" s="2"/>
      <c r="C3590" s="2"/>
      <c r="D3590" s="2">
        <f>F3590*2+4</f>
        <v>12</v>
      </c>
      <c r="E3590" s="2" t="s">
        <v>4</v>
      </c>
      <c r="F3590" s="24">
        <v>4</v>
      </c>
      <c r="G3590" s="24">
        <f>A3579</f>
        <v>300</v>
      </c>
      <c r="H3590" s="24">
        <f>B3579</f>
        <v>3200</v>
      </c>
      <c r="I3590" s="24">
        <f>G3590+1500</f>
        <v>1800</v>
      </c>
      <c r="J3590" s="24">
        <f>L3590</f>
        <v>50</v>
      </c>
      <c r="K3590" s="24">
        <f>G3590+3000</f>
        <v>3300</v>
      </c>
      <c r="L3590" s="24">
        <f>H3590-3150</f>
        <v>50</v>
      </c>
      <c r="M3590" s="6">
        <f>K3590</f>
        <v>3300</v>
      </c>
      <c r="N3590" s="6">
        <f>H3590</f>
        <v>3200</v>
      </c>
    </row>
    <row r="3591" spans="1:14">
      <c r="A3591" s="2"/>
      <c r="B3591" s="2"/>
      <c r="C3591" s="2"/>
      <c r="D3591" s="2">
        <f>F3591*2+4</f>
        <v>12</v>
      </c>
      <c r="E3591" s="2" t="s">
        <v>4</v>
      </c>
      <c r="F3591" s="24">
        <v>4</v>
      </c>
      <c r="G3591" s="6">
        <f>K3598+2000</f>
        <v>14300</v>
      </c>
      <c r="H3591" s="6">
        <f>H3598</f>
        <v>3200</v>
      </c>
      <c r="I3591" s="24">
        <f>G3591</f>
        <v>14300</v>
      </c>
      <c r="J3591" s="24">
        <f>L3591</f>
        <v>2000</v>
      </c>
      <c r="K3591" s="6">
        <f>K3598</f>
        <v>12300</v>
      </c>
      <c r="L3591" s="6">
        <f>L3598</f>
        <v>2000</v>
      </c>
      <c r="M3591" s="24">
        <f>K3591</f>
        <v>12300</v>
      </c>
      <c r="N3591" s="24">
        <f>H3591</f>
        <v>3200</v>
      </c>
    </row>
    <row r="3592" spans="1:14">
      <c r="A3592" s="2"/>
      <c r="B3592" s="2"/>
      <c r="C3592" s="2"/>
      <c r="D3592">
        <v>4</v>
      </c>
      <c r="E3592" t="s">
        <v>15</v>
      </c>
      <c r="F3592" s="6">
        <v>3</v>
      </c>
      <c r="G3592" s="24"/>
      <c r="H3592" s="24"/>
      <c r="I3592" s="24"/>
      <c r="J3592" s="24"/>
      <c r="K3592" s="24"/>
      <c r="L3592" s="24"/>
      <c r="M3592" s="24"/>
      <c r="N3592" s="24"/>
    </row>
    <row r="3593" spans="1:14">
      <c r="A3593" s="2"/>
      <c r="B3593" s="2"/>
      <c r="C3593" s="2"/>
      <c r="D3593" s="2">
        <f>F3593*2+4</f>
        <v>12</v>
      </c>
      <c r="E3593" s="2" t="s">
        <v>4</v>
      </c>
      <c r="F3593" s="24">
        <v>4</v>
      </c>
      <c r="G3593" s="24">
        <f>G3590</f>
        <v>300</v>
      </c>
      <c r="H3593" s="24">
        <f>H3590</f>
        <v>3200</v>
      </c>
      <c r="I3593" s="24">
        <f>G3593+2000</f>
        <v>2300</v>
      </c>
      <c r="J3593" s="24">
        <f>L3593</f>
        <v>1200</v>
      </c>
      <c r="K3593" s="24">
        <f>G3593+5000</f>
        <v>5300</v>
      </c>
      <c r="L3593" s="24">
        <f>H3593-2000</f>
        <v>1200</v>
      </c>
      <c r="M3593" s="6">
        <f>K3593</f>
        <v>5300</v>
      </c>
      <c r="N3593" s="6">
        <f>H3593</f>
        <v>3200</v>
      </c>
    </row>
    <row r="3594" spans="1:14">
      <c r="A3594" s="2"/>
      <c r="B3594" s="2"/>
      <c r="C3594" s="2"/>
      <c r="D3594">
        <v>4</v>
      </c>
      <c r="E3594" t="s">
        <v>15</v>
      </c>
      <c r="F3594" s="6">
        <v>4</v>
      </c>
      <c r="G3594" s="24"/>
      <c r="H3594" s="24"/>
      <c r="I3594" s="24"/>
      <c r="J3594" s="24"/>
      <c r="K3594" s="24"/>
      <c r="L3594" s="24"/>
      <c r="M3594" s="24"/>
      <c r="N3594" s="24"/>
    </row>
    <row r="3595" spans="1:14">
      <c r="A3595" s="2"/>
      <c r="B3595" s="2"/>
      <c r="C3595" s="2"/>
      <c r="D3595" s="2">
        <f>F3595*2+4</f>
        <v>12</v>
      </c>
      <c r="E3595" s="2" t="s">
        <v>4</v>
      </c>
      <c r="F3595" s="24">
        <v>4</v>
      </c>
      <c r="G3595" s="24">
        <f>G3598</f>
        <v>7300</v>
      </c>
      <c r="H3595" s="24">
        <f>H3598</f>
        <v>3200</v>
      </c>
      <c r="I3595" s="24">
        <f>G3595+2000</f>
        <v>9300</v>
      </c>
      <c r="J3595" s="24">
        <f>L3595</f>
        <v>1200</v>
      </c>
      <c r="K3595" s="24">
        <f>G3595+5000</f>
        <v>12300</v>
      </c>
      <c r="L3595" s="24">
        <f>H3595-2000</f>
        <v>1200</v>
      </c>
      <c r="M3595" s="6">
        <f>K3595</f>
        <v>12300</v>
      </c>
      <c r="N3595" s="6">
        <f>H3595</f>
        <v>3200</v>
      </c>
    </row>
    <row r="3596" spans="1:14">
      <c r="D3596" s="2">
        <f>F3596*2+4</f>
        <v>12</v>
      </c>
      <c r="E3596" s="2" t="s">
        <v>4</v>
      </c>
      <c r="F3596" s="24">
        <v>4</v>
      </c>
      <c r="G3596" s="6">
        <f>K3590</f>
        <v>3300</v>
      </c>
      <c r="H3596" s="6">
        <f>J3593</f>
        <v>1200</v>
      </c>
      <c r="I3596" s="24">
        <f>G3596</f>
        <v>3300</v>
      </c>
      <c r="J3596" s="24">
        <f>L3596</f>
        <v>3200</v>
      </c>
      <c r="K3596" s="6">
        <f>K3593</f>
        <v>5300</v>
      </c>
      <c r="L3596" s="6">
        <f>H3593</f>
        <v>3200</v>
      </c>
      <c r="M3596" s="24">
        <f>K3596</f>
        <v>5300</v>
      </c>
      <c r="N3596" s="24">
        <f>H3596</f>
        <v>1200</v>
      </c>
    </row>
    <row r="3597" spans="1:14">
      <c r="D3597">
        <v>4</v>
      </c>
      <c r="E3597" t="s">
        <v>15</v>
      </c>
      <c r="F3597" s="6">
        <v>3</v>
      </c>
      <c r="G3597" s="24"/>
      <c r="H3597" s="24"/>
      <c r="I3597" s="24"/>
      <c r="J3597" s="24"/>
      <c r="K3597" s="24"/>
      <c r="L3597" s="24"/>
      <c r="M3597" s="24"/>
      <c r="N3597" s="24"/>
    </row>
    <row r="3598" spans="1:14">
      <c r="A3598" s="1"/>
      <c r="B3598" s="1"/>
      <c r="D3598" s="2">
        <f>F3598*2+4</f>
        <v>12</v>
      </c>
      <c r="E3598" s="2" t="s">
        <v>4</v>
      </c>
      <c r="F3598" s="24">
        <v>4</v>
      </c>
      <c r="G3598" s="24">
        <f>A3584</f>
        <v>7300</v>
      </c>
      <c r="H3598" s="24">
        <f>B3584</f>
        <v>3200</v>
      </c>
      <c r="I3598" s="24">
        <f>G3598+2400</f>
        <v>9700</v>
      </c>
      <c r="J3598" s="24">
        <f>L3598</f>
        <v>2000</v>
      </c>
      <c r="K3598" s="24">
        <f>G3598+5000</f>
        <v>12300</v>
      </c>
      <c r="L3598" s="24">
        <f>H3598-1200</f>
        <v>2000</v>
      </c>
      <c r="M3598" s="6">
        <f>K3598</f>
        <v>12300</v>
      </c>
      <c r="N3598" s="6">
        <f>H3598</f>
        <v>3200</v>
      </c>
    </row>
    <row r="3599" spans="1:14">
      <c r="A3599" s="1"/>
      <c r="B3599" s="1"/>
      <c r="D3599" s="2">
        <f>ROUNDUP(6+F3599/2,0)</f>
        <v>14</v>
      </c>
      <c r="E3599" s="2" t="s">
        <v>6</v>
      </c>
      <c r="F3599" s="24">
        <f>LEN(G3599)</f>
        <v>15</v>
      </c>
      <c r="G3599" s="24" t="s">
        <v>476</v>
      </c>
      <c r="H3599" s="24">
        <f>B3579-3100</f>
        <v>100</v>
      </c>
      <c r="I3599" s="24">
        <f>A3579-300</f>
        <v>0</v>
      </c>
      <c r="J3599" s="24"/>
      <c r="K3599" s="24"/>
      <c r="L3599" s="24"/>
      <c r="M3599" s="24"/>
      <c r="N3599" s="24"/>
    </row>
    <row r="3601" spans="1:14">
      <c r="A3601" s="1" t="s">
        <v>2</v>
      </c>
      <c r="B3601" s="1" t="s">
        <v>3</v>
      </c>
      <c r="D3601" s="2">
        <v>18</v>
      </c>
      <c r="E3601" s="2" t="s">
        <v>111</v>
      </c>
      <c r="F3601" s="24">
        <v>250</v>
      </c>
      <c r="G3601" s="24">
        <f>A3602-100</f>
        <v>200</v>
      </c>
      <c r="H3601" s="24">
        <f>B3602</f>
        <v>3200</v>
      </c>
      <c r="I3601" s="24">
        <f>G3601+6000</f>
        <v>6200</v>
      </c>
      <c r="J3601" s="24">
        <f>H3601</f>
        <v>3200</v>
      </c>
      <c r="K3601" s="24"/>
      <c r="L3601" s="24"/>
    </row>
    <row r="3602" spans="1:14">
      <c r="A3602" s="1">
        <v>300</v>
      </c>
      <c r="B3602" s="1">
        <v>3200</v>
      </c>
      <c r="D3602" s="2">
        <v>18</v>
      </c>
      <c r="E3602" s="2" t="s">
        <v>111</v>
      </c>
      <c r="F3602" s="24">
        <v>250</v>
      </c>
      <c r="G3602" s="24">
        <f>A3602</f>
        <v>300</v>
      </c>
      <c r="H3602" s="24">
        <f>B3602+100</f>
        <v>3300</v>
      </c>
      <c r="I3602" s="24">
        <f>G3602</f>
        <v>300</v>
      </c>
      <c r="J3602" s="24">
        <f>H3602-2700</f>
        <v>600</v>
      </c>
      <c r="K3602" s="24"/>
      <c r="L3602" s="36"/>
      <c r="M3602" s="24"/>
      <c r="N3602" s="24"/>
    </row>
    <row r="3603" spans="1:14">
      <c r="A3603" s="2" t="s">
        <v>479</v>
      </c>
      <c r="B3603" s="2"/>
      <c r="C3603" s="2"/>
      <c r="D3603" s="2">
        <f>ROUNDUP(6+F3603/2,0)</f>
        <v>22</v>
      </c>
      <c r="E3603" s="2" t="s">
        <v>6</v>
      </c>
      <c r="F3603" s="24">
        <f>LEN(G3603)</f>
        <v>31</v>
      </c>
      <c r="G3603" s="24" t="s">
        <v>480</v>
      </c>
      <c r="H3603" s="24">
        <f>B3602-3100</f>
        <v>100</v>
      </c>
      <c r="I3603" s="24">
        <f>A3602-300</f>
        <v>0</v>
      </c>
      <c r="J3603" s="24"/>
      <c r="M3603" s="24"/>
      <c r="N3603" s="24"/>
    </row>
    <row r="3604" spans="1:14">
      <c r="D3604" s="2">
        <f>ROUNDUP(6+F3604/2,0)</f>
        <v>9</v>
      </c>
      <c r="E3604" s="2" t="s">
        <v>6</v>
      </c>
      <c r="F3604" s="24">
        <f>LEN(G3604)</f>
        <v>5</v>
      </c>
      <c r="G3604" s="24" t="s">
        <v>482</v>
      </c>
      <c r="H3604" s="24">
        <f>H3603+500</f>
        <v>600</v>
      </c>
      <c r="I3604" s="24">
        <f>I3603+500</f>
        <v>500</v>
      </c>
      <c r="K3604" s="24"/>
      <c r="L3604" s="24"/>
      <c r="M3604" s="24"/>
      <c r="N3604" s="24"/>
    </row>
    <row r="3605" spans="1:14">
      <c r="D3605" s="2">
        <v>18</v>
      </c>
      <c r="E3605" s="2" t="s">
        <v>111</v>
      </c>
      <c r="F3605" s="24">
        <v>100</v>
      </c>
      <c r="G3605" s="24">
        <f>I3604+350</f>
        <v>850</v>
      </c>
      <c r="H3605" s="24">
        <f>H3604+100</f>
        <v>700</v>
      </c>
      <c r="I3605" s="24">
        <f>G3605</f>
        <v>850</v>
      </c>
      <c r="J3605" s="24">
        <f>H3605+250</f>
        <v>950</v>
      </c>
      <c r="K3605" s="24"/>
      <c r="L3605" s="24"/>
    </row>
    <row r="3606" spans="1:14">
      <c r="D3606" s="2">
        <v>18</v>
      </c>
      <c r="E3606" s="2" t="s">
        <v>111</v>
      </c>
      <c r="F3606" s="24">
        <v>100</v>
      </c>
      <c r="G3606" s="24">
        <f>G3605+400</f>
        <v>1250</v>
      </c>
      <c r="H3606" s="24">
        <f>H3605</f>
        <v>700</v>
      </c>
      <c r="I3606" s="24">
        <f>G3606</f>
        <v>1250</v>
      </c>
      <c r="J3606" s="24">
        <f>J3605</f>
        <v>950</v>
      </c>
      <c r="K3606" s="24"/>
      <c r="L3606" s="24"/>
    </row>
    <row r="3607" spans="1:14">
      <c r="A3607" s="1" t="s">
        <v>2</v>
      </c>
      <c r="B3607" s="1" t="s">
        <v>3</v>
      </c>
      <c r="D3607" s="2">
        <v>18</v>
      </c>
      <c r="E3607" s="2" t="s">
        <v>111</v>
      </c>
      <c r="F3607" s="24">
        <v>250</v>
      </c>
      <c r="G3607" s="24">
        <f>A3608-100</f>
        <v>7200</v>
      </c>
      <c r="H3607" s="24">
        <f>B3608</f>
        <v>3200</v>
      </c>
      <c r="I3607" s="24">
        <f>G3607+7000</f>
        <v>14200</v>
      </c>
      <c r="J3607" s="24">
        <f>H3607</f>
        <v>3200</v>
      </c>
      <c r="K3607" s="24"/>
      <c r="L3607" s="24"/>
    </row>
    <row r="3608" spans="1:14">
      <c r="A3608" s="1">
        <v>7300</v>
      </c>
      <c r="B3608" s="1">
        <v>3200</v>
      </c>
      <c r="D3608" s="2">
        <v>18</v>
      </c>
      <c r="E3608" s="2" t="s">
        <v>111</v>
      </c>
      <c r="F3608" s="24">
        <v>250</v>
      </c>
      <c r="G3608" s="24">
        <f>A3608</f>
        <v>7300</v>
      </c>
      <c r="H3608" s="24">
        <f>B3608+100</f>
        <v>3300</v>
      </c>
      <c r="I3608" s="24">
        <f>G3608</f>
        <v>7300</v>
      </c>
      <c r="J3608" s="24">
        <f>H3608-2700</f>
        <v>600</v>
      </c>
      <c r="K3608" s="24"/>
      <c r="L3608" s="36"/>
      <c r="M3608" s="24"/>
      <c r="N3608" s="24"/>
    </row>
    <row r="3609" spans="1:14">
      <c r="A3609" s="2"/>
      <c r="B3609" s="2"/>
      <c r="C3609" s="2"/>
      <c r="D3609" s="2">
        <f>ROUNDUP(6+F3609/2,0)</f>
        <v>19</v>
      </c>
      <c r="E3609" s="2" t="s">
        <v>6</v>
      </c>
      <c r="F3609" s="24">
        <f>LEN(G3609)</f>
        <v>25</v>
      </c>
      <c r="G3609" s="24" t="s">
        <v>481</v>
      </c>
      <c r="H3609" s="24">
        <f>B3608-3100</f>
        <v>100</v>
      </c>
      <c r="I3609" s="24">
        <f>A3608-300</f>
        <v>7000</v>
      </c>
      <c r="J3609" s="24"/>
      <c r="M3609" s="24"/>
      <c r="N3609" s="24"/>
    </row>
    <row r="3610" spans="1:14">
      <c r="D3610" s="2">
        <f>ROUNDUP(6+F3610/2,0)</f>
        <v>7</v>
      </c>
      <c r="E3610" s="2" t="s">
        <v>6</v>
      </c>
      <c r="F3610" s="24">
        <f>LEN(G3610)</f>
        <v>1</v>
      </c>
      <c r="G3610" s="24" t="s">
        <v>22</v>
      </c>
      <c r="H3610" s="24">
        <f>H3609+500</f>
        <v>600</v>
      </c>
      <c r="I3610" s="24">
        <f>I3609+500</f>
        <v>7500</v>
      </c>
      <c r="K3610" s="24"/>
      <c r="L3610" s="24"/>
      <c r="M3610" s="24"/>
      <c r="N3610" s="24"/>
    </row>
    <row r="3611" spans="1:14">
      <c r="D3611" s="2">
        <v>18</v>
      </c>
      <c r="E3611" s="2" t="s">
        <v>111</v>
      </c>
      <c r="F3611" s="24">
        <v>100</v>
      </c>
      <c r="G3611" s="24">
        <f>I3610+350</f>
        <v>7850</v>
      </c>
      <c r="H3611" s="24">
        <f>H3610+100</f>
        <v>700</v>
      </c>
      <c r="I3611" s="24">
        <f>G3611</f>
        <v>7850</v>
      </c>
      <c r="J3611" s="24">
        <f>H3611+250</f>
        <v>950</v>
      </c>
      <c r="K3611" s="24"/>
      <c r="L3611" s="24"/>
    </row>
    <row r="3612" spans="1:14">
      <c r="A3612" s="1"/>
      <c r="B3612" s="1"/>
      <c r="D3612" s="2">
        <v>18</v>
      </c>
      <c r="E3612" s="2" t="s">
        <v>111</v>
      </c>
      <c r="F3612" s="24">
        <v>100</v>
      </c>
      <c r="G3612" s="24">
        <f>G3611+200</f>
        <v>8050</v>
      </c>
      <c r="H3612" s="24">
        <f>H3611</f>
        <v>700</v>
      </c>
      <c r="I3612" s="24">
        <f>G3612</f>
        <v>8050</v>
      </c>
      <c r="J3612" s="24">
        <f>J3611</f>
        <v>950</v>
      </c>
      <c r="K3612" s="24"/>
      <c r="L3612" s="24"/>
      <c r="M3612" s="24"/>
      <c r="N3612" s="24"/>
    </row>
    <row r="3613" spans="1:14">
      <c r="A3613" s="2"/>
      <c r="B3613" s="2"/>
      <c r="C3613" s="2"/>
      <c r="D3613" s="2">
        <v>18</v>
      </c>
      <c r="E3613" s="2" t="s">
        <v>111</v>
      </c>
      <c r="F3613" s="24">
        <v>100</v>
      </c>
      <c r="G3613" s="24">
        <f>G3612+200</f>
        <v>8250</v>
      </c>
      <c r="H3613" s="24">
        <f>H3612</f>
        <v>700</v>
      </c>
      <c r="I3613" s="24">
        <f>G3613</f>
        <v>8250</v>
      </c>
      <c r="J3613" s="24">
        <f>J3612</f>
        <v>950</v>
      </c>
      <c r="K3613" s="24"/>
      <c r="L3613" s="24"/>
      <c r="M3613" s="24"/>
      <c r="N3613" s="24"/>
    </row>
    <row r="3614" spans="1:14">
      <c r="A3614" s="2"/>
      <c r="B3614" s="2"/>
      <c r="C3614" s="2"/>
      <c r="D3614" s="2">
        <v>18</v>
      </c>
      <c r="E3614" s="2" t="s">
        <v>111</v>
      </c>
      <c r="F3614" s="24">
        <v>100</v>
      </c>
      <c r="G3614" s="24">
        <f>G3613+200</f>
        <v>8450</v>
      </c>
      <c r="H3614" s="24">
        <f>H3613</f>
        <v>700</v>
      </c>
      <c r="I3614" s="24">
        <f>G3614</f>
        <v>8450</v>
      </c>
      <c r="J3614" s="24">
        <f>J3613</f>
        <v>950</v>
      </c>
      <c r="K3614" s="24"/>
      <c r="L3614" s="24"/>
      <c r="M3614" s="24"/>
      <c r="N3614" s="24"/>
    </row>
    <row r="3615" spans="1:14">
      <c r="A3615" s="2"/>
      <c r="B3615" s="2"/>
      <c r="C3615" s="2"/>
      <c r="D3615" s="2">
        <v>44</v>
      </c>
      <c r="E3615" s="2" t="s">
        <v>112</v>
      </c>
      <c r="F3615" s="24">
        <v>150</v>
      </c>
      <c r="G3615" s="24">
        <f>G3621</f>
        <v>4300</v>
      </c>
      <c r="H3615" s="24">
        <f>H3621-300</f>
        <v>900</v>
      </c>
      <c r="I3615" s="24">
        <f>I3621</f>
        <v>5300</v>
      </c>
      <c r="J3615" s="24">
        <f>H3615</f>
        <v>900</v>
      </c>
      <c r="K3615" s="24"/>
      <c r="L3615" s="24"/>
      <c r="M3615" s="24"/>
      <c r="N3615" s="24"/>
    </row>
    <row r="3616" spans="1:14">
      <c r="A3616" s="2"/>
      <c r="B3616" s="2"/>
      <c r="C3616" s="2"/>
      <c r="D3616" s="2">
        <f>ROUNDUP(6+F3616/2,0)</f>
        <v>7</v>
      </c>
      <c r="E3616" s="2" t="s">
        <v>6</v>
      </c>
      <c r="F3616" s="24">
        <f>LEN(G3616)</f>
        <v>1</v>
      </c>
      <c r="G3616" s="24" t="s">
        <v>43</v>
      </c>
      <c r="H3616" s="24">
        <f>H3615-400</f>
        <v>500</v>
      </c>
      <c r="I3616" s="24">
        <f>(G3615+I3615)/2-100</f>
        <v>4700</v>
      </c>
      <c r="J3616" s="24"/>
      <c r="K3616" s="24"/>
      <c r="L3616" s="24"/>
      <c r="M3616" s="24"/>
      <c r="N3616" s="24"/>
    </row>
    <row r="3617" spans="1:18">
      <c r="A3617" s="2"/>
      <c r="B3617" s="2"/>
      <c r="C3617" s="2"/>
      <c r="D3617">
        <v>4</v>
      </c>
      <c r="E3617" t="s">
        <v>15</v>
      </c>
      <c r="F3617" s="6">
        <v>3</v>
      </c>
      <c r="G3617" s="24"/>
      <c r="H3617" s="24"/>
      <c r="I3617" s="24"/>
      <c r="J3617" s="24"/>
      <c r="K3617" s="24"/>
      <c r="L3617" s="24"/>
      <c r="M3617" s="24"/>
      <c r="N3617" s="24"/>
    </row>
    <row r="3618" spans="1:18">
      <c r="A3618" s="2"/>
      <c r="B3618" s="2"/>
      <c r="C3618" s="2"/>
      <c r="D3618" s="2">
        <f>F3618*2+4</f>
        <v>12</v>
      </c>
      <c r="E3618" s="2" t="s">
        <v>4</v>
      </c>
      <c r="F3618" s="24">
        <v>4</v>
      </c>
      <c r="G3618" s="24">
        <f>A3602</f>
        <v>300</v>
      </c>
      <c r="H3618" s="24">
        <f>B3602</f>
        <v>3200</v>
      </c>
      <c r="I3618" s="24">
        <f>G3618+2000</f>
        <v>2300</v>
      </c>
      <c r="J3618" s="24">
        <f>L3618</f>
        <v>1200</v>
      </c>
      <c r="K3618" s="24">
        <f>G3618+4000</f>
        <v>4300</v>
      </c>
      <c r="L3618" s="24">
        <f>H3618-2000</f>
        <v>1200</v>
      </c>
      <c r="M3618" s="6">
        <f>K3618</f>
        <v>4300</v>
      </c>
      <c r="N3618" s="6">
        <f>H3618</f>
        <v>3200</v>
      </c>
    </row>
    <row r="3619" spans="1:18">
      <c r="A3619" s="2"/>
      <c r="B3619" s="2"/>
      <c r="C3619" s="2"/>
      <c r="D3619" s="2">
        <f>F3619*2+4</f>
        <v>10</v>
      </c>
      <c r="E3619" s="2" t="s">
        <v>4</v>
      </c>
      <c r="F3619" s="24">
        <v>3</v>
      </c>
      <c r="G3619" s="24">
        <f>A3608</f>
        <v>7300</v>
      </c>
      <c r="H3619" s="24">
        <f>B3608</f>
        <v>3200</v>
      </c>
      <c r="I3619" s="24">
        <f>G3619+1000</f>
        <v>8300</v>
      </c>
      <c r="J3619" s="24">
        <f>H3619-1000</f>
        <v>2200</v>
      </c>
      <c r="K3619" s="24">
        <f>I3619</f>
        <v>8300</v>
      </c>
      <c r="L3619" s="24">
        <f>H3619</f>
        <v>3200</v>
      </c>
    </row>
    <row r="3620" spans="1:18">
      <c r="D3620">
        <v>4</v>
      </c>
      <c r="E3620" t="s">
        <v>15</v>
      </c>
      <c r="F3620" s="6">
        <v>4</v>
      </c>
      <c r="G3620" s="24"/>
      <c r="H3620" s="24"/>
      <c r="I3620" s="24"/>
      <c r="J3620" s="24"/>
      <c r="K3620" s="24"/>
      <c r="L3620" s="24"/>
    </row>
    <row r="3621" spans="1:18">
      <c r="D3621" s="2">
        <v>7</v>
      </c>
      <c r="E3621" s="2" t="s">
        <v>5</v>
      </c>
      <c r="F3621" s="24">
        <f>N3618</f>
        <v>3200</v>
      </c>
      <c r="G3621" s="24">
        <f>M3618</f>
        <v>4300</v>
      </c>
      <c r="H3621" s="24">
        <f>L3618</f>
        <v>1200</v>
      </c>
      <c r="I3621" s="24">
        <f>G3621+1000</f>
        <v>5300</v>
      </c>
      <c r="J3621" s="24"/>
      <c r="K3621" s="24"/>
      <c r="L3621" s="24"/>
      <c r="M3621" s="24"/>
      <c r="N3621" s="24"/>
    </row>
    <row r="3622" spans="1:18">
      <c r="A3622" s="1"/>
      <c r="B3622" s="1"/>
      <c r="D3622" s="2">
        <f>F3622*2+4</f>
        <v>12</v>
      </c>
      <c r="E3622" s="2" t="s">
        <v>4</v>
      </c>
      <c r="F3622" s="24">
        <v>4</v>
      </c>
      <c r="G3622" s="24">
        <f>K3619+100</f>
        <v>8400</v>
      </c>
      <c r="H3622" s="24">
        <f>L3619-100</f>
        <v>3100</v>
      </c>
      <c r="I3622" s="24">
        <f>G3622+1000</f>
        <v>9400</v>
      </c>
      <c r="J3622" s="24">
        <f>H3622</f>
        <v>3100</v>
      </c>
      <c r="K3622" s="24">
        <f>I3622</f>
        <v>9400</v>
      </c>
      <c r="L3622" s="24">
        <f>J3622-2000</f>
        <v>1100</v>
      </c>
      <c r="M3622" s="24">
        <f>G3622</f>
        <v>8400</v>
      </c>
      <c r="N3622" s="24">
        <f>H3622-1000</f>
        <v>2100</v>
      </c>
    </row>
    <row r="3623" spans="1:18">
      <c r="A3623" s="1"/>
      <c r="B3623" s="1"/>
      <c r="D3623" s="2">
        <v>7</v>
      </c>
      <c r="E3623" s="2" t="s">
        <v>5</v>
      </c>
      <c r="F3623" s="24">
        <f>H3623-2000</f>
        <v>1050</v>
      </c>
      <c r="G3623" s="6">
        <f>G3622+1200</f>
        <v>9600</v>
      </c>
      <c r="H3623" s="6">
        <f>H3622-50</f>
        <v>3050</v>
      </c>
      <c r="I3623" s="24">
        <f>G3623+1000</f>
        <v>10600</v>
      </c>
      <c r="J3623" s="24"/>
      <c r="M3623" s="24"/>
      <c r="N3623" s="24"/>
    </row>
    <row r="3624" spans="1:18">
      <c r="A3624" s="1"/>
      <c r="B3624" s="2"/>
      <c r="C3624" s="2"/>
      <c r="D3624" s="2">
        <v>7</v>
      </c>
      <c r="E3624" s="2" t="s">
        <v>5</v>
      </c>
      <c r="F3624" s="24">
        <f>H3624-2000</f>
        <v>950</v>
      </c>
      <c r="G3624" s="6">
        <f>G3623+1300</f>
        <v>10900</v>
      </c>
      <c r="H3624" s="6">
        <f>H3623-100</f>
        <v>2950</v>
      </c>
      <c r="I3624" s="24">
        <f>G3624+1000</f>
        <v>11900</v>
      </c>
      <c r="J3624" s="24"/>
      <c r="K3624" s="24"/>
      <c r="L3624" s="24"/>
      <c r="M3624" s="24"/>
      <c r="N3624" s="24"/>
    </row>
    <row r="3625" spans="1:18">
      <c r="D3625" s="2">
        <v>7</v>
      </c>
      <c r="E3625" s="2" t="s">
        <v>5</v>
      </c>
      <c r="F3625" s="24">
        <f>H3625-2000</f>
        <v>850</v>
      </c>
      <c r="G3625" s="6">
        <f>G3624+1400</f>
        <v>12300</v>
      </c>
      <c r="H3625" s="6">
        <f>H3624-100</f>
        <v>2850</v>
      </c>
      <c r="I3625" s="24">
        <f>G3625+1000</f>
        <v>13300</v>
      </c>
      <c r="J3625" s="24"/>
      <c r="K3625" s="24"/>
      <c r="L3625" s="24"/>
    </row>
    <row r="3627" spans="1:18">
      <c r="A3627" s="1" t="s">
        <v>2</v>
      </c>
      <c r="B3627" s="1" t="s">
        <v>3</v>
      </c>
      <c r="D3627" s="2">
        <v>18</v>
      </c>
      <c r="E3627" s="2" t="s">
        <v>111</v>
      </c>
      <c r="F3627" s="24">
        <v>250</v>
      </c>
      <c r="G3627" s="24">
        <f>A3628-100</f>
        <v>200</v>
      </c>
      <c r="H3627" s="24">
        <f>B3628</f>
        <v>3200</v>
      </c>
      <c r="I3627" s="24">
        <f>G3627+6000</f>
        <v>6200</v>
      </c>
      <c r="J3627" s="24">
        <f>H3627</f>
        <v>3200</v>
      </c>
      <c r="K3627" s="24"/>
      <c r="L3627" s="24"/>
      <c r="O3627" s="36"/>
      <c r="Q3627" s="2"/>
      <c r="R3627" s="2"/>
    </row>
    <row r="3628" spans="1:18">
      <c r="A3628" s="1">
        <v>300</v>
      </c>
      <c r="B3628" s="1">
        <v>3200</v>
      </c>
      <c r="D3628" s="2">
        <v>18</v>
      </c>
      <c r="E3628" s="2" t="s">
        <v>111</v>
      </c>
      <c r="F3628" s="24">
        <v>250</v>
      </c>
      <c r="G3628" s="24">
        <f>A3628</f>
        <v>300</v>
      </c>
      <c r="H3628" s="24">
        <f>B3628+100</f>
        <v>3300</v>
      </c>
      <c r="I3628" s="24">
        <f>G3628</f>
        <v>300</v>
      </c>
      <c r="J3628" s="24">
        <f>H3628-2700</f>
        <v>600</v>
      </c>
      <c r="K3628" s="24"/>
      <c r="L3628" s="36"/>
      <c r="M3628" s="24"/>
      <c r="N3628" s="24"/>
      <c r="O3628" s="24"/>
      <c r="Q3628" s="2"/>
      <c r="R3628" s="2"/>
    </row>
    <row r="3629" spans="1:18">
      <c r="A3629" s="2" t="s">
        <v>483</v>
      </c>
      <c r="B3629" s="2"/>
      <c r="C3629" s="2"/>
      <c r="D3629" s="2">
        <f>ROUNDUP(6+F3629/2,0)</f>
        <v>27</v>
      </c>
      <c r="E3629" s="2" t="s">
        <v>6</v>
      </c>
      <c r="F3629" s="24">
        <f>LEN(G3629)</f>
        <v>42</v>
      </c>
      <c r="G3629" s="24" t="s">
        <v>485</v>
      </c>
      <c r="H3629" s="24">
        <f>B3628-3100</f>
        <v>100</v>
      </c>
      <c r="I3629" s="24">
        <f>A3628-300</f>
        <v>0</v>
      </c>
      <c r="J3629" s="24"/>
      <c r="M3629" s="24"/>
      <c r="N3629" s="24"/>
      <c r="O3629" s="24"/>
      <c r="Q3629" s="2"/>
      <c r="R3629" s="2"/>
    </row>
    <row r="3630" spans="1:18">
      <c r="D3630" s="2">
        <f>ROUNDUP(6+F3630/2,0)</f>
        <v>9</v>
      </c>
      <c r="E3630" s="2" t="s">
        <v>6</v>
      </c>
      <c r="F3630" s="24">
        <f>LEN(G3630)</f>
        <v>5</v>
      </c>
      <c r="G3630" s="24" t="s">
        <v>482</v>
      </c>
      <c r="H3630" s="24">
        <f>H3629+500</f>
        <v>600</v>
      </c>
      <c r="I3630" s="24">
        <f>I3629+500</f>
        <v>500</v>
      </c>
      <c r="K3630" s="24"/>
      <c r="L3630" s="24"/>
      <c r="M3630" s="24"/>
      <c r="N3630" s="24"/>
      <c r="O3630" s="24"/>
      <c r="Q3630" s="2"/>
      <c r="R3630" s="2"/>
    </row>
    <row r="3631" spans="1:18">
      <c r="D3631" s="2">
        <v>18</v>
      </c>
      <c r="E3631" s="2" t="s">
        <v>111</v>
      </c>
      <c r="F3631" s="24">
        <v>100</v>
      </c>
      <c r="G3631" s="24">
        <f>I3630+350</f>
        <v>850</v>
      </c>
      <c r="H3631" s="24">
        <f>H3630+100</f>
        <v>700</v>
      </c>
      <c r="I3631" s="24">
        <f>G3631</f>
        <v>850</v>
      </c>
      <c r="J3631" s="24">
        <f>H3631+250</f>
        <v>950</v>
      </c>
      <c r="K3631" s="24"/>
      <c r="L3631" s="24"/>
      <c r="O3631" s="24"/>
      <c r="Q3631" s="2"/>
      <c r="R3631" s="2"/>
    </row>
    <row r="3632" spans="1:18">
      <c r="D3632" s="2">
        <v>18</v>
      </c>
      <c r="E3632" s="2" t="s">
        <v>111</v>
      </c>
      <c r="F3632" s="24">
        <v>100</v>
      </c>
      <c r="G3632" s="24">
        <f>G3631+400</f>
        <v>1250</v>
      </c>
      <c r="H3632" s="24">
        <f>H3631</f>
        <v>700</v>
      </c>
      <c r="I3632" s="24">
        <f>G3632</f>
        <v>1250</v>
      </c>
      <c r="J3632" s="24">
        <f>J3631</f>
        <v>950</v>
      </c>
      <c r="K3632" s="24"/>
      <c r="L3632" s="24"/>
      <c r="O3632" s="24"/>
      <c r="Q3632" s="2"/>
      <c r="R3632" s="2"/>
    </row>
    <row r="3633" spans="1:18">
      <c r="A3633" s="1" t="s">
        <v>2</v>
      </c>
      <c r="B3633" s="1" t="s">
        <v>3</v>
      </c>
      <c r="D3633" s="2">
        <v>18</v>
      </c>
      <c r="E3633" s="2" t="s">
        <v>111</v>
      </c>
      <c r="F3633" s="24">
        <v>250</v>
      </c>
      <c r="G3633" s="24">
        <f>A3634-100</f>
        <v>7200</v>
      </c>
      <c r="H3633" s="24">
        <f>B3634</f>
        <v>3200</v>
      </c>
      <c r="I3633" s="24">
        <f>G3633+6000</f>
        <v>13200</v>
      </c>
      <c r="J3633" s="24">
        <f>H3633</f>
        <v>3200</v>
      </c>
      <c r="K3633" s="24"/>
      <c r="L3633" s="24"/>
      <c r="O3633" s="24"/>
      <c r="Q3633" s="2"/>
      <c r="R3633" s="2"/>
    </row>
    <row r="3634" spans="1:18">
      <c r="A3634" s="1">
        <v>7300</v>
      </c>
      <c r="B3634" s="1">
        <v>3200</v>
      </c>
      <c r="D3634" s="2">
        <v>18</v>
      </c>
      <c r="E3634" s="2" t="s">
        <v>111</v>
      </c>
      <c r="F3634" s="24">
        <v>250</v>
      </c>
      <c r="G3634" s="24">
        <f>A3634</f>
        <v>7300</v>
      </c>
      <c r="H3634" s="24">
        <f>B3634+100</f>
        <v>3300</v>
      </c>
      <c r="I3634" s="24">
        <f>G3634</f>
        <v>7300</v>
      </c>
      <c r="J3634" s="24">
        <f>H3634-2700</f>
        <v>600</v>
      </c>
      <c r="K3634" s="24"/>
      <c r="L3634" s="36"/>
      <c r="M3634" s="24"/>
      <c r="N3634" s="24"/>
      <c r="O3634" s="24"/>
      <c r="Q3634" s="2"/>
      <c r="R3634" s="2"/>
    </row>
    <row r="3635" spans="1:18">
      <c r="A3635" s="2"/>
      <c r="B3635" s="2"/>
      <c r="C3635" s="2"/>
      <c r="D3635" s="2">
        <f>ROUNDUP(6+F3635/2,0)</f>
        <v>27</v>
      </c>
      <c r="E3635" s="2" t="s">
        <v>6</v>
      </c>
      <c r="F3635" s="24">
        <f>LEN(G3635)</f>
        <v>42</v>
      </c>
      <c r="G3635" s="24" t="s">
        <v>484</v>
      </c>
      <c r="H3635" s="24">
        <f>B3634-3100</f>
        <v>100</v>
      </c>
      <c r="I3635" s="24">
        <f>A3634-300</f>
        <v>7000</v>
      </c>
      <c r="J3635" s="24"/>
      <c r="M3635" s="24"/>
      <c r="N3635" s="24"/>
      <c r="O3635" s="24"/>
      <c r="Q3635" s="2"/>
      <c r="R3635" s="2"/>
    </row>
    <row r="3636" spans="1:18">
      <c r="D3636" s="2">
        <f>ROUNDUP(6+F3636/2,0)</f>
        <v>9</v>
      </c>
      <c r="E3636" s="2" t="s">
        <v>6</v>
      </c>
      <c r="F3636" s="24">
        <f>LEN(G3636)</f>
        <v>5</v>
      </c>
      <c r="G3636" s="24" t="s">
        <v>482</v>
      </c>
      <c r="H3636" s="24">
        <f>H3635+500</f>
        <v>600</v>
      </c>
      <c r="I3636" s="24">
        <f>I3635+500</f>
        <v>7500</v>
      </c>
      <c r="K3636" s="24"/>
      <c r="L3636" s="24"/>
      <c r="M3636" s="24"/>
      <c r="N3636" s="24"/>
      <c r="O3636" s="24"/>
      <c r="Q3636" s="2"/>
      <c r="R3636" s="2"/>
    </row>
    <row r="3637" spans="1:18">
      <c r="D3637" s="2">
        <v>18</v>
      </c>
      <c r="E3637" s="2" t="s">
        <v>111</v>
      </c>
      <c r="F3637" s="24">
        <v>100</v>
      </c>
      <c r="G3637" s="24">
        <f>I3636+350</f>
        <v>7850</v>
      </c>
      <c r="H3637" s="24">
        <f>H3636+100</f>
        <v>700</v>
      </c>
      <c r="I3637" s="24">
        <f>G3637</f>
        <v>7850</v>
      </c>
      <c r="J3637" s="24">
        <f>H3637+250</f>
        <v>950</v>
      </c>
      <c r="K3637" s="24"/>
      <c r="L3637" s="24"/>
      <c r="O3637" s="24"/>
      <c r="Q3637" s="2"/>
      <c r="R3637" s="2"/>
    </row>
    <row r="3638" spans="1:18">
      <c r="D3638" s="2">
        <v>18</v>
      </c>
      <c r="E3638" s="2" t="s">
        <v>111</v>
      </c>
      <c r="F3638" s="24">
        <v>100</v>
      </c>
      <c r="G3638" s="24">
        <f>G3637+400</f>
        <v>8250</v>
      </c>
      <c r="H3638" s="24">
        <f>H3637</f>
        <v>700</v>
      </c>
      <c r="I3638" s="24">
        <f>G3638</f>
        <v>8250</v>
      </c>
      <c r="J3638" s="24">
        <f>J3637</f>
        <v>950</v>
      </c>
      <c r="K3638" s="24"/>
      <c r="L3638" s="24"/>
      <c r="O3638" s="24"/>
      <c r="Q3638" s="2"/>
      <c r="R3638" s="2"/>
    </row>
    <row r="3639" spans="1:18">
      <c r="A3639" s="2"/>
      <c r="B3639" s="2"/>
      <c r="C3639" s="2"/>
      <c r="D3639">
        <v>4</v>
      </c>
      <c r="E3639" t="s">
        <v>15</v>
      </c>
      <c r="F3639" s="6">
        <v>4</v>
      </c>
      <c r="G3639" s="24"/>
      <c r="H3639" s="24"/>
      <c r="I3639" s="24"/>
      <c r="J3639" s="24"/>
      <c r="K3639" s="24"/>
      <c r="L3639" s="24"/>
      <c r="M3639" s="24"/>
      <c r="N3639" s="24"/>
      <c r="O3639" s="24"/>
      <c r="Q3639" s="2"/>
      <c r="R3639" s="2"/>
    </row>
    <row r="3640" spans="1:18">
      <c r="A3640" s="2"/>
      <c r="B3640" s="2"/>
      <c r="C3640" s="2"/>
      <c r="D3640" s="2">
        <f>F3640*2+4</f>
        <v>12</v>
      </c>
      <c r="E3640" s="2" t="s">
        <v>4</v>
      </c>
      <c r="F3640" s="24">
        <v>4</v>
      </c>
      <c r="G3640" s="24">
        <f>A3628</f>
        <v>300</v>
      </c>
      <c r="H3640" s="24">
        <f>B3628</f>
        <v>3200</v>
      </c>
      <c r="I3640" s="24">
        <f>G3640+2000</f>
        <v>2300</v>
      </c>
      <c r="J3640" s="24">
        <f>L3640</f>
        <v>1200</v>
      </c>
      <c r="K3640" s="24">
        <f>G3640+5000</f>
        <v>5300</v>
      </c>
      <c r="L3640" s="24">
        <f>H3640-2000</f>
        <v>1200</v>
      </c>
      <c r="M3640" s="6">
        <f>K3640</f>
        <v>5300</v>
      </c>
      <c r="N3640" s="6">
        <f>H3640</f>
        <v>3200</v>
      </c>
      <c r="O3640" s="24"/>
      <c r="Q3640" s="2"/>
      <c r="R3640" s="2"/>
    </row>
    <row r="3641" spans="1:18">
      <c r="A3641" s="2"/>
      <c r="B3641" s="2"/>
      <c r="C3641" s="2"/>
      <c r="D3641" s="2">
        <f>F3641*2+4</f>
        <v>12</v>
      </c>
      <c r="E3641" s="2" t="s">
        <v>4</v>
      </c>
      <c r="F3641" s="24">
        <v>4</v>
      </c>
      <c r="G3641" s="24">
        <f>A3634</f>
        <v>7300</v>
      </c>
      <c r="H3641" s="24">
        <f>B3634</f>
        <v>3200</v>
      </c>
      <c r="I3641" s="24">
        <f>G3641+2000</f>
        <v>9300</v>
      </c>
      <c r="J3641" s="24">
        <f>L3641</f>
        <v>1200</v>
      </c>
      <c r="K3641" s="24">
        <f>G3641+5000</f>
        <v>12300</v>
      </c>
      <c r="L3641" s="24">
        <f>H3641-2000</f>
        <v>1200</v>
      </c>
      <c r="M3641" s="6">
        <f>K3641</f>
        <v>12300</v>
      </c>
      <c r="N3641" s="6">
        <f>H3641</f>
        <v>3200</v>
      </c>
      <c r="O3641" s="24"/>
      <c r="Q3641" s="2"/>
      <c r="R3641" s="2"/>
    </row>
    <row r="3642" spans="1:18">
      <c r="A3642" s="2"/>
      <c r="B3642" s="2"/>
      <c r="C3642" s="2"/>
      <c r="D3642">
        <v>4</v>
      </c>
      <c r="E3642" t="s">
        <v>15</v>
      </c>
      <c r="F3642" s="6">
        <v>3</v>
      </c>
      <c r="G3642" s="24"/>
      <c r="H3642" s="24"/>
      <c r="I3642" s="24"/>
      <c r="J3642" s="24"/>
      <c r="K3642" s="24"/>
      <c r="L3642" s="24"/>
      <c r="O3642" s="24"/>
      <c r="P3642" s="2"/>
      <c r="Q3642" s="2"/>
      <c r="R3642" s="2"/>
    </row>
    <row r="3643" spans="1:18">
      <c r="D3643" s="2">
        <f>F3643*2+4</f>
        <v>16</v>
      </c>
      <c r="E3643" s="2" t="s">
        <v>4</v>
      </c>
      <c r="F3643" s="24">
        <v>6</v>
      </c>
      <c r="G3643" s="24">
        <f>G3640</f>
        <v>300</v>
      </c>
      <c r="H3643" s="24">
        <f>H3640</f>
        <v>3200</v>
      </c>
      <c r="I3643" s="24">
        <f>G3643+3500</f>
        <v>3800</v>
      </c>
      <c r="J3643" s="24">
        <f>H3643</f>
        <v>3200</v>
      </c>
      <c r="K3643" s="24">
        <f>I3643</f>
        <v>3800</v>
      </c>
      <c r="L3643" s="24">
        <f>L3640</f>
        <v>1200</v>
      </c>
      <c r="M3643" s="6">
        <f>G3643+2500</f>
        <v>2800</v>
      </c>
      <c r="N3643" s="6">
        <f>L3643</f>
        <v>1200</v>
      </c>
      <c r="O3643" s="24">
        <f>Q3643+800</f>
        <v>2500</v>
      </c>
      <c r="P3643" s="2">
        <f>R3643</f>
        <v>1800</v>
      </c>
      <c r="Q3643" s="2">
        <f>G3643+1400</f>
        <v>1700</v>
      </c>
      <c r="R3643" s="2">
        <f>H3643-1400</f>
        <v>1800</v>
      </c>
    </row>
    <row r="3644" spans="1:18">
      <c r="D3644" s="2">
        <f>F3644*2+4</f>
        <v>16</v>
      </c>
      <c r="E3644" s="2" t="s">
        <v>4</v>
      </c>
      <c r="F3644" s="24">
        <v>6</v>
      </c>
      <c r="G3644" s="24">
        <f>G3641</f>
        <v>7300</v>
      </c>
      <c r="H3644" s="24">
        <f>H3641</f>
        <v>3200</v>
      </c>
      <c r="I3644" s="24">
        <f>G3644+3500</f>
        <v>10800</v>
      </c>
      <c r="J3644" s="24">
        <f>H3644</f>
        <v>3200</v>
      </c>
      <c r="K3644" s="24">
        <f>I3644</f>
        <v>10800</v>
      </c>
      <c r="L3644" s="24">
        <f>L3641</f>
        <v>1200</v>
      </c>
      <c r="M3644" s="6">
        <f>G3644+2500</f>
        <v>9800</v>
      </c>
      <c r="N3644" s="6">
        <f>L3644</f>
        <v>1200</v>
      </c>
      <c r="O3644" s="24">
        <f>Q3644+1000</f>
        <v>9300</v>
      </c>
      <c r="P3644" s="2">
        <f>R3644-850</f>
        <v>1350</v>
      </c>
      <c r="Q3644" s="2">
        <f>G3644+1000</f>
        <v>8300</v>
      </c>
      <c r="R3644" s="2">
        <f>H3644-1000</f>
        <v>2200</v>
      </c>
    </row>
    <row r="3646" spans="1:18">
      <c r="A3646" s="1" t="s">
        <v>2</v>
      </c>
      <c r="B3646" s="1" t="s">
        <v>3</v>
      </c>
      <c r="D3646" s="2">
        <v>18</v>
      </c>
      <c r="E3646" s="2" t="s">
        <v>111</v>
      </c>
      <c r="F3646" s="24">
        <v>250</v>
      </c>
      <c r="G3646" s="24">
        <f>A3647-100</f>
        <v>200</v>
      </c>
      <c r="H3646" s="24">
        <f>B3647</f>
        <v>3200</v>
      </c>
      <c r="I3646" s="24">
        <f>G3646+6000</f>
        <v>6200</v>
      </c>
      <c r="J3646" s="24">
        <f>H3646</f>
        <v>3200</v>
      </c>
      <c r="K3646" s="24"/>
      <c r="L3646" s="24"/>
    </row>
    <row r="3647" spans="1:18">
      <c r="A3647" s="1">
        <v>300</v>
      </c>
      <c r="B3647" s="1">
        <v>3200</v>
      </c>
      <c r="D3647" s="2">
        <v>18</v>
      </c>
      <c r="E3647" s="2" t="s">
        <v>111</v>
      </c>
      <c r="F3647" s="24">
        <v>250</v>
      </c>
      <c r="G3647" s="24">
        <f>A3647</f>
        <v>300</v>
      </c>
      <c r="H3647" s="24">
        <f>B3647+100</f>
        <v>3300</v>
      </c>
      <c r="I3647" s="24">
        <f>G3647</f>
        <v>300</v>
      </c>
      <c r="J3647" s="24">
        <f>H3647-2700</f>
        <v>600</v>
      </c>
      <c r="K3647" s="24"/>
      <c r="L3647" s="36"/>
      <c r="M3647" s="24"/>
      <c r="N3647" s="24"/>
    </row>
    <row r="3648" spans="1:18">
      <c r="A3648" s="2" t="s">
        <v>486</v>
      </c>
      <c r="B3648" s="2"/>
      <c r="C3648" s="2"/>
      <c r="D3648" s="2">
        <f>ROUNDUP(6+F3648/2,0)</f>
        <v>13</v>
      </c>
      <c r="E3648" s="2" t="s">
        <v>6</v>
      </c>
      <c r="F3648" s="24">
        <f>LEN(G3648)</f>
        <v>14</v>
      </c>
      <c r="G3648" s="24" t="s">
        <v>486</v>
      </c>
      <c r="H3648" s="24">
        <f>B3647-3100</f>
        <v>100</v>
      </c>
      <c r="I3648" s="24">
        <f>A3647-300</f>
        <v>0</v>
      </c>
      <c r="J3648" s="24"/>
      <c r="M3648" s="24"/>
      <c r="N3648" s="24"/>
    </row>
    <row r="3649" spans="1:14">
      <c r="D3649" s="2">
        <f>ROUNDUP(6+F3649/2,0)</f>
        <v>9</v>
      </c>
      <c r="E3649" s="2" t="s">
        <v>6</v>
      </c>
      <c r="F3649" s="24">
        <f>LEN(G3649)</f>
        <v>5</v>
      </c>
      <c r="G3649" s="24" t="s">
        <v>482</v>
      </c>
      <c r="H3649" s="24">
        <f>H3648+500</f>
        <v>600</v>
      </c>
      <c r="I3649" s="24">
        <f>I3648+500</f>
        <v>500</v>
      </c>
      <c r="K3649" s="24"/>
      <c r="L3649" s="24"/>
      <c r="M3649" s="24"/>
      <c r="N3649" s="24"/>
    </row>
    <row r="3650" spans="1:14">
      <c r="D3650" s="2">
        <v>18</v>
      </c>
      <c r="E3650" s="2" t="s">
        <v>111</v>
      </c>
      <c r="F3650" s="24">
        <v>100</v>
      </c>
      <c r="G3650" s="24">
        <f>I3649+350</f>
        <v>850</v>
      </c>
      <c r="H3650" s="24">
        <f>H3649+100</f>
        <v>700</v>
      </c>
      <c r="I3650" s="24">
        <f>G3650</f>
        <v>850</v>
      </c>
      <c r="J3650" s="24">
        <f>H3650+250</f>
        <v>950</v>
      </c>
      <c r="K3650" s="24"/>
      <c r="L3650" s="24"/>
    </row>
    <row r="3651" spans="1:14">
      <c r="D3651" s="2">
        <v>18</v>
      </c>
      <c r="E3651" s="2" t="s">
        <v>111</v>
      </c>
      <c r="F3651" s="24">
        <v>100</v>
      </c>
      <c r="G3651" s="24">
        <f>G3650+400</f>
        <v>1250</v>
      </c>
      <c r="H3651" s="24">
        <f>H3650</f>
        <v>700</v>
      </c>
      <c r="I3651" s="24">
        <f>G3651</f>
        <v>1250</v>
      </c>
      <c r="J3651" s="24">
        <f>J3650</f>
        <v>950</v>
      </c>
      <c r="K3651" s="24"/>
      <c r="L3651" s="24"/>
    </row>
    <row r="3652" spans="1:14">
      <c r="A3652" s="1" t="s">
        <v>2</v>
      </c>
      <c r="B3652" s="1" t="s">
        <v>3</v>
      </c>
      <c r="D3652" s="2">
        <v>18</v>
      </c>
      <c r="E3652" s="2" t="s">
        <v>111</v>
      </c>
      <c r="F3652" s="24">
        <v>250</v>
      </c>
      <c r="G3652" s="24">
        <f>A3653-100</f>
        <v>7200</v>
      </c>
      <c r="H3652" s="24">
        <f>B3653</f>
        <v>3200</v>
      </c>
      <c r="I3652" s="24">
        <f>G3652+7000</f>
        <v>14200</v>
      </c>
      <c r="J3652" s="24">
        <f>H3652</f>
        <v>3200</v>
      </c>
      <c r="K3652" s="24"/>
      <c r="L3652" s="24"/>
    </row>
    <row r="3653" spans="1:14">
      <c r="A3653" s="1">
        <v>7300</v>
      </c>
      <c r="B3653" s="1">
        <v>3200</v>
      </c>
      <c r="D3653" s="2">
        <v>18</v>
      </c>
      <c r="E3653" s="2" t="s">
        <v>111</v>
      </c>
      <c r="F3653" s="24">
        <v>250</v>
      </c>
      <c r="G3653" s="24">
        <f>A3653</f>
        <v>7300</v>
      </c>
      <c r="H3653" s="24">
        <f>B3653+100</f>
        <v>3300</v>
      </c>
      <c r="I3653" s="24">
        <f>G3653</f>
        <v>7300</v>
      </c>
      <c r="J3653" s="24">
        <f>H3653-2700</f>
        <v>600</v>
      </c>
      <c r="K3653" s="24"/>
      <c r="L3653" s="36"/>
      <c r="M3653" s="24"/>
      <c r="N3653" s="24"/>
    </row>
    <row r="3654" spans="1:14">
      <c r="A3654" s="2"/>
      <c r="B3654" s="2"/>
      <c r="C3654" s="2"/>
      <c r="D3654" s="2">
        <f>ROUNDUP(6+F3654/2,0)</f>
        <v>16</v>
      </c>
      <c r="E3654" s="2" t="s">
        <v>6</v>
      </c>
      <c r="F3654" s="24">
        <f>LEN(G3654)</f>
        <v>19</v>
      </c>
      <c r="G3654" s="24" t="s">
        <v>487</v>
      </c>
      <c r="H3654" s="24">
        <f>B3653-3100</f>
        <v>100</v>
      </c>
      <c r="I3654" s="24">
        <f>A3653-300</f>
        <v>7000</v>
      </c>
      <c r="J3654" s="24"/>
      <c r="M3654" s="24"/>
      <c r="N3654" s="24"/>
    </row>
    <row r="3655" spans="1:14">
      <c r="D3655" s="2">
        <f>ROUNDUP(6+F3655/2,0)</f>
        <v>9</v>
      </c>
      <c r="E3655" s="2" t="s">
        <v>6</v>
      </c>
      <c r="F3655" s="24">
        <f>LEN(G3655)</f>
        <v>5</v>
      </c>
      <c r="G3655" s="24" t="s">
        <v>482</v>
      </c>
      <c r="H3655" s="24">
        <f>H3654+500</f>
        <v>600</v>
      </c>
      <c r="I3655" s="24">
        <f>I3654+500</f>
        <v>7500</v>
      </c>
      <c r="K3655" s="24"/>
      <c r="L3655" s="24"/>
      <c r="M3655" s="24"/>
      <c r="N3655" s="24"/>
    </row>
    <row r="3656" spans="1:14">
      <c r="D3656" s="2">
        <v>18</v>
      </c>
      <c r="E3656" s="2" t="s">
        <v>111</v>
      </c>
      <c r="F3656" s="24">
        <v>100</v>
      </c>
      <c r="G3656" s="24">
        <f>I3655+350</f>
        <v>7850</v>
      </c>
      <c r="H3656" s="24">
        <f>J3656+250</f>
        <v>950</v>
      </c>
      <c r="I3656" s="24">
        <f>G3656</f>
        <v>7850</v>
      </c>
      <c r="J3656" s="24">
        <f>H3655+100</f>
        <v>700</v>
      </c>
      <c r="K3656" s="24"/>
      <c r="L3656" s="24"/>
    </row>
    <row r="3657" spans="1:14">
      <c r="D3657" s="2">
        <v>18</v>
      </c>
      <c r="E3657" s="2" t="s">
        <v>111</v>
      </c>
      <c r="F3657" s="24">
        <v>100</v>
      </c>
      <c r="G3657" s="24">
        <f>G3656+400</f>
        <v>8250</v>
      </c>
      <c r="H3657" s="24">
        <f>H3656</f>
        <v>950</v>
      </c>
      <c r="I3657" s="24">
        <f>G3657</f>
        <v>8250</v>
      </c>
      <c r="J3657" s="24">
        <f>J3656</f>
        <v>700</v>
      </c>
      <c r="K3657" s="24"/>
      <c r="L3657" s="24"/>
    </row>
    <row r="3658" spans="1:14">
      <c r="A3658" s="2"/>
      <c r="B3658" s="2"/>
      <c r="C3658" s="2"/>
      <c r="D3658">
        <v>4</v>
      </c>
      <c r="E3658" t="s">
        <v>15</v>
      </c>
      <c r="F3658" s="6">
        <v>3</v>
      </c>
      <c r="G3658" s="24"/>
      <c r="H3658" s="24"/>
      <c r="I3658" s="24"/>
      <c r="J3658" s="24"/>
      <c r="K3658" s="24"/>
      <c r="L3658" s="24"/>
      <c r="M3658" s="24"/>
      <c r="N3658" s="24"/>
    </row>
    <row r="3659" spans="1:14">
      <c r="A3659" s="2"/>
      <c r="B3659" s="2"/>
      <c r="C3659" s="2"/>
      <c r="D3659" s="2">
        <f>F3659*2+4</f>
        <v>12</v>
      </c>
      <c r="E3659" s="2" t="s">
        <v>4</v>
      </c>
      <c r="F3659" s="24">
        <v>4</v>
      </c>
      <c r="G3659" s="24">
        <f>A3647</f>
        <v>300</v>
      </c>
      <c r="H3659" s="24">
        <f>B3647</f>
        <v>3200</v>
      </c>
      <c r="I3659" s="24">
        <f>G3659+2000</f>
        <v>2300</v>
      </c>
      <c r="J3659" s="24">
        <f>L3659</f>
        <v>1200</v>
      </c>
      <c r="K3659" s="24">
        <f>G3659+4000</f>
        <v>4300</v>
      </c>
      <c r="L3659" s="24">
        <f>H3659-2000</f>
        <v>1200</v>
      </c>
      <c r="M3659" s="6">
        <f>K3659</f>
        <v>4300</v>
      </c>
      <c r="N3659" s="6">
        <f>H3659</f>
        <v>3200</v>
      </c>
    </row>
    <row r="3660" spans="1:14">
      <c r="A3660" s="2"/>
      <c r="B3660" s="2"/>
      <c r="C3660" s="2"/>
      <c r="D3660" s="2">
        <f>F3660*2+4</f>
        <v>12</v>
      </c>
      <c r="E3660" s="2" t="s">
        <v>4</v>
      </c>
      <c r="F3660" s="24">
        <v>4</v>
      </c>
      <c r="G3660" s="24">
        <f>A3653</f>
        <v>7300</v>
      </c>
      <c r="H3660" s="24">
        <f>B3653</f>
        <v>3200</v>
      </c>
      <c r="I3660" s="24">
        <f>G3660+2000</f>
        <v>9300</v>
      </c>
      <c r="J3660" s="24">
        <f>L3660</f>
        <v>1200</v>
      </c>
      <c r="K3660" s="24">
        <f>G3660+5000</f>
        <v>12300</v>
      </c>
      <c r="L3660" s="24">
        <f>H3660-2000</f>
        <v>1200</v>
      </c>
      <c r="M3660" s="6">
        <f>K3660</f>
        <v>12300</v>
      </c>
      <c r="N3660" s="6">
        <f>H3660</f>
        <v>3200</v>
      </c>
    </row>
    <row r="3661" spans="1:14">
      <c r="A3661" s="2"/>
      <c r="B3661" s="2"/>
      <c r="C3661" s="2"/>
      <c r="D3661">
        <v>4</v>
      </c>
      <c r="E3661" t="s">
        <v>15</v>
      </c>
      <c r="F3661" s="6">
        <v>4</v>
      </c>
      <c r="G3661" s="24"/>
      <c r="H3661" s="24"/>
      <c r="I3661" s="24"/>
      <c r="J3661" s="24"/>
      <c r="K3661" s="24"/>
      <c r="L3661" s="24"/>
    </row>
    <row r="3662" spans="1:14">
      <c r="D3662" s="2">
        <v>7</v>
      </c>
      <c r="E3662" s="2" t="s">
        <v>5</v>
      </c>
      <c r="F3662" s="24">
        <f>N3659</f>
        <v>3200</v>
      </c>
      <c r="G3662" s="24">
        <f>M3659</f>
        <v>4300</v>
      </c>
      <c r="H3662" s="24">
        <f>J3659</f>
        <v>1200</v>
      </c>
      <c r="I3662" s="24">
        <f>G3662+1000</f>
        <v>5300</v>
      </c>
      <c r="J3662" s="24"/>
      <c r="K3662" s="24"/>
      <c r="L3662" s="24"/>
    </row>
    <row r="3663" spans="1:14">
      <c r="D3663" s="2">
        <f>F3663*2+4</f>
        <v>10</v>
      </c>
      <c r="E3663" s="2" t="s">
        <v>4</v>
      </c>
      <c r="F3663" s="24">
        <v>3</v>
      </c>
      <c r="G3663" s="6">
        <f>G3660</f>
        <v>7300</v>
      </c>
      <c r="H3663" s="6">
        <f>H3660</f>
        <v>3200</v>
      </c>
      <c r="I3663" s="6">
        <f>I3660</f>
        <v>9300</v>
      </c>
      <c r="J3663" s="6">
        <f>J3660</f>
        <v>1200</v>
      </c>
      <c r="K3663" s="6">
        <f>I3663+300</f>
        <v>9600</v>
      </c>
      <c r="L3663" s="6">
        <f>J3663</f>
        <v>1200</v>
      </c>
    </row>
    <row r="3664" spans="1:14">
      <c r="A3664" s="1"/>
      <c r="B3664" s="1"/>
      <c r="D3664">
        <v>4</v>
      </c>
      <c r="E3664" t="s">
        <v>15</v>
      </c>
      <c r="F3664" s="6">
        <v>5</v>
      </c>
      <c r="G3664" s="24"/>
      <c r="H3664" s="24"/>
      <c r="I3664" s="24"/>
      <c r="J3664" s="24"/>
      <c r="K3664" s="24"/>
      <c r="L3664" s="24"/>
      <c r="M3664" s="24"/>
      <c r="N3664" s="24"/>
    </row>
    <row r="3665" spans="1:15">
      <c r="A3665" s="1"/>
      <c r="B3665" s="1"/>
      <c r="D3665" s="2">
        <f>F3665*2+4</f>
        <v>10</v>
      </c>
      <c r="E3665" s="2" t="s">
        <v>4</v>
      </c>
      <c r="F3665" s="24">
        <v>3</v>
      </c>
      <c r="G3665" s="6">
        <f>G3659</f>
        <v>300</v>
      </c>
      <c r="H3665" s="6">
        <f>H3659</f>
        <v>3200</v>
      </c>
      <c r="I3665" s="6">
        <f>I3659</f>
        <v>2300</v>
      </c>
      <c r="J3665" s="6">
        <f>J3659</f>
        <v>1200</v>
      </c>
      <c r="K3665" s="6">
        <f>I3665-300</f>
        <v>2000</v>
      </c>
      <c r="L3665" s="6">
        <f>J3665</f>
        <v>1200</v>
      </c>
      <c r="M3665" s="24"/>
      <c r="N3665" s="24"/>
    </row>
    <row r="3666" spans="1:15">
      <c r="A3666" s="1"/>
      <c r="B3666" s="2"/>
      <c r="C3666" s="2"/>
      <c r="D3666" s="2">
        <v>8</v>
      </c>
      <c r="E3666" s="2" t="s">
        <v>5</v>
      </c>
      <c r="F3666" s="24">
        <f>N3660</f>
        <v>3200</v>
      </c>
      <c r="G3666" s="24">
        <f>M3660</f>
        <v>12300</v>
      </c>
      <c r="H3666" s="24">
        <f>J3660</f>
        <v>1200</v>
      </c>
      <c r="I3666" s="24">
        <f>G3666+1000</f>
        <v>13300</v>
      </c>
      <c r="J3666" s="24"/>
      <c r="K3666" s="24"/>
      <c r="L3666" s="24"/>
      <c r="M3666" s="24"/>
      <c r="N3666" s="24"/>
    </row>
    <row r="3668" spans="1:15">
      <c r="A3668" s="1" t="s">
        <v>2</v>
      </c>
      <c r="B3668" s="1" t="s">
        <v>3</v>
      </c>
      <c r="D3668" s="2">
        <v>18</v>
      </c>
      <c r="E3668" s="2" t="s">
        <v>111</v>
      </c>
      <c r="F3668" s="24">
        <v>250</v>
      </c>
      <c r="G3668" s="24">
        <f>A3669-100</f>
        <v>200</v>
      </c>
      <c r="H3668" s="24">
        <f>B3669</f>
        <v>3200</v>
      </c>
      <c r="I3668" s="24">
        <f>G3668+6700</f>
        <v>6900</v>
      </c>
      <c r="J3668" s="24">
        <f>H3668</f>
        <v>3200</v>
      </c>
      <c r="K3668" s="24"/>
      <c r="L3668" s="24"/>
      <c r="O3668" s="36"/>
    </row>
    <row r="3669" spans="1:15">
      <c r="A3669" s="1">
        <v>300</v>
      </c>
      <c r="B3669" s="1">
        <v>3200</v>
      </c>
      <c r="D3669" s="2">
        <v>18</v>
      </c>
      <c r="E3669" s="2" t="s">
        <v>111</v>
      </c>
      <c r="F3669" s="24">
        <v>250</v>
      </c>
      <c r="G3669" s="24">
        <f>A3669</f>
        <v>300</v>
      </c>
      <c r="H3669" s="24">
        <f>B3669+100</f>
        <v>3300</v>
      </c>
      <c r="I3669" s="24">
        <f>G3669</f>
        <v>300</v>
      </c>
      <c r="J3669" s="24">
        <f>H3669-2700</f>
        <v>600</v>
      </c>
      <c r="K3669" s="24"/>
      <c r="L3669" s="36"/>
      <c r="M3669" s="24"/>
      <c r="N3669" s="24"/>
      <c r="O3669" s="24"/>
    </row>
    <row r="3670" spans="1:15">
      <c r="A3670" s="2" t="s">
        <v>489</v>
      </c>
      <c r="B3670" s="2"/>
      <c r="C3670" s="2"/>
      <c r="D3670" s="2">
        <f>ROUNDUP(6+F3670/2,0)</f>
        <v>14</v>
      </c>
      <c r="E3670" s="2" t="s">
        <v>6</v>
      </c>
      <c r="F3670" s="24">
        <f>LEN(G3670)</f>
        <v>16</v>
      </c>
      <c r="G3670" s="24" t="s">
        <v>488</v>
      </c>
      <c r="H3670" s="24">
        <f>B3669-3100</f>
        <v>100</v>
      </c>
      <c r="I3670" s="24">
        <f>A3669-300</f>
        <v>0</v>
      </c>
      <c r="J3670" s="24"/>
      <c r="M3670" s="24"/>
      <c r="N3670" s="24"/>
      <c r="O3670" s="24"/>
    </row>
    <row r="3671" spans="1:15">
      <c r="D3671" s="2">
        <f>ROUNDUP(6+F3671/2,0)</f>
        <v>9</v>
      </c>
      <c r="E3671" s="2" t="s">
        <v>6</v>
      </c>
      <c r="F3671" s="24">
        <f>LEN(G3671)</f>
        <v>5</v>
      </c>
      <c r="G3671" s="24" t="s">
        <v>482</v>
      </c>
      <c r="H3671" s="24">
        <f>H3670+500</f>
        <v>600</v>
      </c>
      <c r="I3671" s="24">
        <f>I3670+500</f>
        <v>500</v>
      </c>
      <c r="K3671" s="24"/>
      <c r="L3671" s="24"/>
      <c r="M3671" s="24"/>
      <c r="N3671" s="24"/>
      <c r="O3671" s="24"/>
    </row>
    <row r="3672" spans="1:15">
      <c r="D3672" s="2">
        <v>18</v>
      </c>
      <c r="E3672" s="2" t="s">
        <v>111</v>
      </c>
      <c r="F3672" s="24">
        <v>100</v>
      </c>
      <c r="G3672" s="24">
        <f>I3671+350</f>
        <v>850</v>
      </c>
      <c r="H3672" s="24">
        <f>J3672+250</f>
        <v>950</v>
      </c>
      <c r="I3672" s="24">
        <f>G3672</f>
        <v>850</v>
      </c>
      <c r="J3672" s="24">
        <f>H3671+100</f>
        <v>700</v>
      </c>
      <c r="K3672" s="24"/>
      <c r="L3672" s="24"/>
      <c r="O3672" s="24"/>
    </row>
    <row r="3673" spans="1:15">
      <c r="D3673" s="2">
        <v>18</v>
      </c>
      <c r="E3673" s="2" t="s">
        <v>111</v>
      </c>
      <c r="F3673" s="24">
        <v>100</v>
      </c>
      <c r="G3673" s="24">
        <f>G3672+400</f>
        <v>1250</v>
      </c>
      <c r="H3673" s="24">
        <f>H3672</f>
        <v>950</v>
      </c>
      <c r="I3673" s="24">
        <f>G3673</f>
        <v>1250</v>
      </c>
      <c r="J3673" s="24">
        <f>J3672</f>
        <v>700</v>
      </c>
      <c r="K3673" s="24"/>
      <c r="L3673" s="24"/>
      <c r="O3673" s="24"/>
    </row>
    <row r="3674" spans="1:15">
      <c r="A3674" s="1" t="s">
        <v>2</v>
      </c>
      <c r="B3674" s="1" t="s">
        <v>3</v>
      </c>
      <c r="D3674" s="2">
        <v>18</v>
      </c>
      <c r="E3674" s="2" t="s">
        <v>111</v>
      </c>
      <c r="F3674" s="24">
        <v>250</v>
      </c>
      <c r="G3674" s="24">
        <f>A3675-100</f>
        <v>7200</v>
      </c>
      <c r="H3674" s="24">
        <f>B3675</f>
        <v>3200</v>
      </c>
      <c r="I3674" s="24">
        <f>G3674+6700</f>
        <v>13900</v>
      </c>
      <c r="J3674" s="24">
        <f>H3674</f>
        <v>3200</v>
      </c>
      <c r="K3674" s="24"/>
      <c r="L3674" s="24"/>
      <c r="O3674" s="24"/>
    </row>
    <row r="3675" spans="1:15">
      <c r="A3675" s="1">
        <v>7300</v>
      </c>
      <c r="B3675" s="1">
        <v>3200</v>
      </c>
      <c r="D3675" s="2">
        <v>18</v>
      </c>
      <c r="E3675" s="2" t="s">
        <v>111</v>
      </c>
      <c r="F3675" s="24">
        <v>250</v>
      </c>
      <c r="G3675" s="24">
        <f>A3675</f>
        <v>7300</v>
      </c>
      <c r="H3675" s="24">
        <f>B3675+100</f>
        <v>3300</v>
      </c>
      <c r="I3675" s="24">
        <f>G3675</f>
        <v>7300</v>
      </c>
      <c r="J3675" s="24">
        <f>H3675-2700</f>
        <v>600</v>
      </c>
      <c r="K3675" s="24"/>
      <c r="L3675" s="36"/>
      <c r="M3675" s="24"/>
      <c r="N3675" s="24"/>
      <c r="O3675" s="24"/>
    </row>
    <row r="3676" spans="1:15">
      <c r="A3676" s="2"/>
      <c r="B3676" s="2"/>
      <c r="C3676" s="2"/>
      <c r="D3676" s="2">
        <f>ROUNDUP(6+F3676/2,0)</f>
        <v>13</v>
      </c>
      <c r="E3676" s="2" t="s">
        <v>6</v>
      </c>
      <c r="F3676" s="24">
        <f>LEN(G3676)</f>
        <v>13</v>
      </c>
      <c r="G3676" s="24" t="s">
        <v>489</v>
      </c>
      <c r="H3676" s="24">
        <f>B3675-3100</f>
        <v>100</v>
      </c>
      <c r="I3676" s="24">
        <f>A3675-300</f>
        <v>7000</v>
      </c>
      <c r="J3676" s="24"/>
      <c r="M3676" s="24"/>
      <c r="N3676" s="24"/>
      <c r="O3676" s="24"/>
    </row>
    <row r="3677" spans="1:15">
      <c r="D3677" s="2">
        <f>ROUNDUP(6+F3677/2,0)</f>
        <v>9</v>
      </c>
      <c r="E3677" s="2" t="s">
        <v>6</v>
      </c>
      <c r="F3677" s="24">
        <f>LEN(G3677)</f>
        <v>5</v>
      </c>
      <c r="G3677" s="24" t="s">
        <v>482</v>
      </c>
      <c r="H3677" s="24">
        <f>H3676+500</f>
        <v>600</v>
      </c>
      <c r="I3677" s="24">
        <f>I3676+500</f>
        <v>7500</v>
      </c>
      <c r="K3677" s="24"/>
      <c r="L3677" s="24"/>
      <c r="M3677" s="24"/>
      <c r="N3677" s="24"/>
      <c r="O3677" s="24"/>
    </row>
    <row r="3678" spans="1:15">
      <c r="D3678" s="2">
        <v>18</v>
      </c>
      <c r="E3678" s="2" t="s">
        <v>111</v>
      </c>
      <c r="F3678" s="24">
        <v>100</v>
      </c>
      <c r="G3678" s="24">
        <f>I3677+350</f>
        <v>7850</v>
      </c>
      <c r="H3678" s="24">
        <f>J3678+250</f>
        <v>950</v>
      </c>
      <c r="I3678" s="24">
        <f>G3678</f>
        <v>7850</v>
      </c>
      <c r="J3678" s="24">
        <f>H3677+100</f>
        <v>700</v>
      </c>
      <c r="K3678" s="24"/>
      <c r="L3678" s="24"/>
      <c r="O3678" s="24"/>
    </row>
    <row r="3679" spans="1:15">
      <c r="D3679" s="2">
        <v>18</v>
      </c>
      <c r="E3679" s="2" t="s">
        <v>111</v>
      </c>
      <c r="F3679" s="24">
        <v>100</v>
      </c>
      <c r="G3679" s="24">
        <f>G3678+400</f>
        <v>8250</v>
      </c>
      <c r="H3679" s="24">
        <f>H3678</f>
        <v>950</v>
      </c>
      <c r="I3679" s="24">
        <f>G3679</f>
        <v>8250</v>
      </c>
      <c r="J3679" s="24">
        <f>J3678</f>
        <v>700</v>
      </c>
      <c r="K3679" s="24"/>
      <c r="L3679" s="24"/>
      <c r="O3679" s="24"/>
    </row>
    <row r="3680" spans="1:15">
      <c r="A3680" s="2"/>
      <c r="B3680" s="2"/>
      <c r="C3680" s="2"/>
      <c r="D3680">
        <v>4</v>
      </c>
      <c r="E3680" t="s">
        <v>15</v>
      </c>
      <c r="F3680" s="6">
        <v>3</v>
      </c>
      <c r="G3680" s="24"/>
      <c r="H3680" s="24"/>
      <c r="I3680" s="24"/>
      <c r="J3680" s="24"/>
      <c r="K3680" s="24"/>
      <c r="L3680" s="24"/>
      <c r="M3680" s="24"/>
      <c r="N3680" s="24"/>
      <c r="O3680" s="24"/>
    </row>
    <row r="3681" spans="1:16">
      <c r="A3681" s="2"/>
      <c r="B3681" s="2"/>
      <c r="C3681" s="2"/>
      <c r="D3681" s="2">
        <f>F3681*2+4</f>
        <v>12</v>
      </c>
      <c r="E3681" s="2" t="s">
        <v>4</v>
      </c>
      <c r="F3681" s="24">
        <v>4</v>
      </c>
      <c r="G3681" s="24">
        <f>A3669+1000</f>
        <v>1300</v>
      </c>
      <c r="H3681" s="24">
        <f>B3669</f>
        <v>3200</v>
      </c>
      <c r="I3681" s="24">
        <f>G3681+2000</f>
        <v>3300</v>
      </c>
      <c r="J3681" s="24">
        <f>L3681</f>
        <v>1200</v>
      </c>
      <c r="K3681" s="24">
        <f>G3681+5000</f>
        <v>6300</v>
      </c>
      <c r="L3681" s="24">
        <f>H3681-2000</f>
        <v>1200</v>
      </c>
      <c r="M3681" s="6">
        <f>K3681</f>
        <v>6300</v>
      </c>
      <c r="N3681" s="6">
        <f>H3681</f>
        <v>3200</v>
      </c>
      <c r="O3681" s="24"/>
    </row>
    <row r="3682" spans="1:16">
      <c r="A3682" s="2"/>
      <c r="B3682" s="2"/>
      <c r="C3682" s="2"/>
      <c r="D3682" s="2">
        <f>F3682*2+4</f>
        <v>12</v>
      </c>
      <c r="E3682" s="2" t="s">
        <v>4</v>
      </c>
      <c r="F3682" s="24">
        <v>4</v>
      </c>
      <c r="G3682" s="24">
        <f>A3675+1000</f>
        <v>8300</v>
      </c>
      <c r="H3682" s="24">
        <f>B3675</f>
        <v>3200</v>
      </c>
      <c r="I3682" s="24">
        <f>G3682+2000</f>
        <v>10300</v>
      </c>
      <c r="J3682" s="24">
        <f>L3682</f>
        <v>1200</v>
      </c>
      <c r="K3682" s="24">
        <f>G3682+5000</f>
        <v>13300</v>
      </c>
      <c r="L3682" s="24">
        <f>H3682-2000</f>
        <v>1200</v>
      </c>
      <c r="M3682" s="6">
        <f>K3682</f>
        <v>13300</v>
      </c>
      <c r="N3682" s="6">
        <f>H3682</f>
        <v>3200</v>
      </c>
      <c r="O3682" s="24"/>
    </row>
    <row r="3683" spans="1:16">
      <c r="A3683" s="2"/>
      <c r="B3683" s="2"/>
      <c r="C3683" s="2"/>
      <c r="D3683">
        <v>4</v>
      </c>
      <c r="E3683" t="s">
        <v>15</v>
      </c>
      <c r="F3683" s="6">
        <v>5</v>
      </c>
      <c r="G3683" s="24"/>
      <c r="H3683" s="24"/>
      <c r="I3683" s="24"/>
      <c r="J3683" s="24"/>
      <c r="K3683" s="24"/>
      <c r="L3683" s="24"/>
      <c r="O3683" s="24"/>
      <c r="P3683" s="2"/>
    </row>
    <row r="3684" spans="1:16">
      <c r="D3684" s="2">
        <f>F3684*2+4</f>
        <v>12</v>
      </c>
      <c r="E3684" s="2" t="s">
        <v>4</v>
      </c>
      <c r="F3684" s="24">
        <v>4</v>
      </c>
      <c r="G3684" s="24">
        <f>G3681-1000</f>
        <v>300</v>
      </c>
      <c r="H3684" s="24">
        <f>H3681</f>
        <v>3200</v>
      </c>
      <c r="I3684" s="24">
        <f>G3684+1600</f>
        <v>1900</v>
      </c>
      <c r="J3684" s="24">
        <f>J3681</f>
        <v>1200</v>
      </c>
      <c r="K3684" s="24">
        <f>I3681</f>
        <v>3300</v>
      </c>
      <c r="L3684" s="24">
        <f>L3681</f>
        <v>1200</v>
      </c>
      <c r="M3684" s="6">
        <f>G3681</f>
        <v>1300</v>
      </c>
      <c r="N3684" s="6">
        <f>H3684</f>
        <v>3200</v>
      </c>
      <c r="O3684" s="24"/>
      <c r="P3684" s="2"/>
    </row>
    <row r="3685" spans="1:16">
      <c r="D3685" s="2">
        <f>F3685*2+4</f>
        <v>14</v>
      </c>
      <c r="E3685" s="2" t="s">
        <v>4</v>
      </c>
      <c r="F3685" s="24">
        <v>5</v>
      </c>
      <c r="G3685" s="24">
        <f>G3682-1000</f>
        <v>7300</v>
      </c>
      <c r="H3685" s="24">
        <f>H3682</f>
        <v>3200</v>
      </c>
      <c r="I3685" s="24">
        <f>G3685+1800</f>
        <v>9100</v>
      </c>
      <c r="J3685" s="24">
        <f>J3682</f>
        <v>1200</v>
      </c>
      <c r="K3685" s="24">
        <f>I3682-300</f>
        <v>10000</v>
      </c>
      <c r="L3685" s="24">
        <f>L3682</f>
        <v>1200</v>
      </c>
      <c r="M3685" s="24">
        <f>K3685</f>
        <v>10000</v>
      </c>
      <c r="N3685" s="24">
        <f>L3685+300</f>
        <v>1500</v>
      </c>
      <c r="O3685" s="6">
        <f>G3682</f>
        <v>8300</v>
      </c>
      <c r="P3685">
        <f>H3685</f>
        <v>3200</v>
      </c>
    </row>
    <row r="3687" spans="1:16">
      <c r="A3687" s="1" t="s">
        <v>2</v>
      </c>
      <c r="B3687" s="1" t="s">
        <v>3</v>
      </c>
      <c r="D3687" s="2">
        <v>18</v>
      </c>
      <c r="E3687" s="2" t="s">
        <v>111</v>
      </c>
      <c r="F3687" s="24">
        <v>250</v>
      </c>
      <c r="G3687" s="24">
        <f>A3688-100</f>
        <v>200</v>
      </c>
      <c r="H3687" s="24">
        <f>B3688</f>
        <v>3200</v>
      </c>
      <c r="I3687" s="24">
        <f>G3687+6000</f>
        <v>6200</v>
      </c>
      <c r="J3687" s="24">
        <f>H3687</f>
        <v>3200</v>
      </c>
      <c r="K3687" s="24"/>
      <c r="L3687" s="24"/>
    </row>
    <row r="3688" spans="1:16">
      <c r="A3688" s="1">
        <v>300</v>
      </c>
      <c r="B3688" s="1">
        <v>3200</v>
      </c>
      <c r="D3688" s="2">
        <v>18</v>
      </c>
      <c r="E3688" s="2" t="s">
        <v>111</v>
      </c>
      <c r="F3688" s="24">
        <v>250</v>
      </c>
      <c r="G3688" s="24">
        <f>A3688</f>
        <v>300</v>
      </c>
      <c r="H3688" s="24">
        <f>B3688+100</f>
        <v>3300</v>
      </c>
      <c r="I3688" s="24">
        <f>G3688</f>
        <v>300</v>
      </c>
      <c r="J3688" s="24">
        <f>H3688-2700</f>
        <v>600</v>
      </c>
      <c r="K3688" s="24"/>
      <c r="L3688" s="36"/>
      <c r="M3688" s="24"/>
      <c r="N3688" s="24"/>
    </row>
    <row r="3689" spans="1:16">
      <c r="A3689" s="2" t="s">
        <v>497</v>
      </c>
      <c r="B3689" s="2"/>
      <c r="C3689" s="2"/>
      <c r="D3689" s="2">
        <f>ROUNDUP(6+F3689/2,0)</f>
        <v>14</v>
      </c>
      <c r="E3689" s="2" t="s">
        <v>6</v>
      </c>
      <c r="F3689" s="24">
        <f>LEN(G3689)</f>
        <v>15</v>
      </c>
      <c r="G3689" s="24" t="s">
        <v>493</v>
      </c>
      <c r="H3689" s="24">
        <f>B3688-3100</f>
        <v>100</v>
      </c>
      <c r="I3689" s="24">
        <f>A3688-300</f>
        <v>0</v>
      </c>
      <c r="J3689" s="24"/>
      <c r="M3689" s="24"/>
      <c r="N3689" s="24"/>
    </row>
    <row r="3690" spans="1:16">
      <c r="D3690" s="2">
        <f>ROUNDUP(6+F3690/2,0)</f>
        <v>7</v>
      </c>
      <c r="E3690" s="2" t="s">
        <v>6</v>
      </c>
      <c r="F3690" s="24">
        <f>LEN(G3690)</f>
        <v>1</v>
      </c>
      <c r="G3690" s="24" t="s">
        <v>18</v>
      </c>
      <c r="H3690" s="24">
        <f>H3689+500</f>
        <v>600</v>
      </c>
      <c r="I3690" s="24">
        <f>I3689+500</f>
        <v>500</v>
      </c>
      <c r="K3690" s="24"/>
      <c r="L3690" s="24"/>
      <c r="M3690" s="24"/>
      <c r="N3690" s="24"/>
    </row>
    <row r="3691" spans="1:16">
      <c r="D3691" s="2">
        <v>18</v>
      </c>
      <c r="E3691" s="2" t="s">
        <v>111</v>
      </c>
      <c r="F3691" s="24">
        <v>100</v>
      </c>
      <c r="G3691" s="24">
        <f>I3690+350</f>
        <v>850</v>
      </c>
      <c r="H3691" s="24">
        <f>J3691+250</f>
        <v>950</v>
      </c>
      <c r="I3691" s="24">
        <f>G3691</f>
        <v>850</v>
      </c>
      <c r="J3691" s="24">
        <f>H3690+100</f>
        <v>700</v>
      </c>
      <c r="K3691" s="24"/>
      <c r="L3691" s="24"/>
    </row>
    <row r="3692" spans="1:16">
      <c r="A3692" s="1" t="s">
        <v>2</v>
      </c>
      <c r="B3692" s="1" t="s">
        <v>3</v>
      </c>
      <c r="D3692" s="2">
        <v>18</v>
      </c>
      <c r="E3692" s="2" t="s">
        <v>111</v>
      </c>
      <c r="F3692" s="24">
        <v>250</v>
      </c>
      <c r="G3692" s="24">
        <f>A3693-100</f>
        <v>7200</v>
      </c>
      <c r="H3692" s="24">
        <f>B3693</f>
        <v>3200</v>
      </c>
      <c r="I3692" s="24">
        <f>G3692+6000</f>
        <v>13200</v>
      </c>
      <c r="J3692" s="24">
        <f>H3692</f>
        <v>3200</v>
      </c>
      <c r="K3692" s="24"/>
      <c r="L3692" s="24"/>
    </row>
    <row r="3693" spans="1:16">
      <c r="A3693" s="1">
        <v>7300</v>
      </c>
      <c r="B3693" s="1">
        <v>3200</v>
      </c>
      <c r="D3693" s="2">
        <v>18</v>
      </c>
      <c r="E3693" s="2" t="s">
        <v>111</v>
      </c>
      <c r="F3693" s="24">
        <v>250</v>
      </c>
      <c r="G3693" s="24">
        <f>A3693</f>
        <v>7300</v>
      </c>
      <c r="H3693" s="24">
        <f>B3693+100</f>
        <v>3300</v>
      </c>
      <c r="I3693" s="24">
        <f>G3693</f>
        <v>7300</v>
      </c>
      <c r="J3693" s="24">
        <f>H3693-2700</f>
        <v>600</v>
      </c>
      <c r="K3693" s="24"/>
      <c r="L3693" s="36"/>
      <c r="M3693" s="24"/>
      <c r="N3693" s="24"/>
    </row>
    <row r="3694" spans="1:16">
      <c r="A3694" s="2"/>
      <c r="B3694" s="2"/>
      <c r="C3694" s="2"/>
      <c r="D3694" s="2">
        <f>ROUNDUP(6+F3694/2,0)</f>
        <v>15</v>
      </c>
      <c r="E3694" s="2" t="s">
        <v>6</v>
      </c>
      <c r="F3694" s="24">
        <f>LEN(G3694)</f>
        <v>18</v>
      </c>
      <c r="G3694" s="24" t="s">
        <v>494</v>
      </c>
      <c r="H3694" s="24">
        <f>B3693-3100</f>
        <v>100</v>
      </c>
      <c r="I3694" s="24">
        <f>A3693-300</f>
        <v>7000</v>
      </c>
      <c r="J3694" s="24"/>
      <c r="M3694" s="24"/>
      <c r="N3694" s="24"/>
    </row>
    <row r="3695" spans="1:16">
      <c r="D3695" s="2">
        <f>ROUNDUP(6+F3695/2,0)</f>
        <v>9</v>
      </c>
      <c r="E3695" s="2" t="s">
        <v>6</v>
      </c>
      <c r="F3695" s="24">
        <f>LEN(G3695)</f>
        <v>5</v>
      </c>
      <c r="G3695" s="24" t="s">
        <v>495</v>
      </c>
      <c r="H3695" s="24">
        <f>H3694+500</f>
        <v>600</v>
      </c>
      <c r="I3695" s="24">
        <f>I3694+500</f>
        <v>7500</v>
      </c>
      <c r="K3695" s="24"/>
      <c r="L3695" s="24"/>
      <c r="M3695" s="24"/>
      <c r="N3695" s="24"/>
    </row>
    <row r="3696" spans="1:16">
      <c r="D3696" s="2">
        <v>18</v>
      </c>
      <c r="E3696" s="2" t="s">
        <v>111</v>
      </c>
      <c r="F3696" s="24">
        <v>100</v>
      </c>
      <c r="G3696" s="24">
        <f>I3695+350</f>
        <v>7850</v>
      </c>
      <c r="H3696" s="24">
        <f>J3696+250</f>
        <v>950</v>
      </c>
      <c r="I3696" s="24">
        <f>G3696</f>
        <v>7850</v>
      </c>
      <c r="J3696" s="24">
        <f>H3695+100</f>
        <v>700</v>
      </c>
      <c r="K3696" s="24"/>
      <c r="L3696" s="24"/>
    </row>
    <row r="3697" spans="1:14">
      <c r="A3697" s="1"/>
      <c r="B3697" s="1"/>
      <c r="D3697" s="2">
        <v>18</v>
      </c>
      <c r="E3697" s="2" t="s">
        <v>111</v>
      </c>
      <c r="F3697" s="24">
        <v>100</v>
      </c>
      <c r="G3697" s="24">
        <f>I3695+900</f>
        <v>8400</v>
      </c>
      <c r="H3697" s="24">
        <f>H3695+100</f>
        <v>700</v>
      </c>
      <c r="I3697" s="24">
        <f>G3697</f>
        <v>8400</v>
      </c>
      <c r="J3697" s="24">
        <f>H3697+250</f>
        <v>950</v>
      </c>
      <c r="K3697" s="24"/>
      <c r="L3697" s="24"/>
      <c r="M3697" s="24"/>
      <c r="N3697" s="24"/>
    </row>
    <row r="3698" spans="1:14">
      <c r="A3698" s="2"/>
      <c r="B3698" s="2"/>
      <c r="C3698" s="2"/>
      <c r="D3698" s="2">
        <f>ROUNDUP(6+F3698/2,0)</f>
        <v>9</v>
      </c>
      <c r="E3698" s="2" t="s">
        <v>6</v>
      </c>
      <c r="F3698" s="24">
        <f>LEN(G3698)</f>
        <v>5</v>
      </c>
      <c r="G3698" s="24" t="s">
        <v>496</v>
      </c>
      <c r="H3698" s="24">
        <f>H3695</f>
        <v>600</v>
      </c>
      <c r="I3698" s="24">
        <f>I3695+1100</f>
        <v>8600</v>
      </c>
      <c r="K3698" s="24"/>
      <c r="L3698" s="24"/>
      <c r="M3698" s="24"/>
      <c r="N3698" s="24"/>
    </row>
    <row r="3699" spans="1:14">
      <c r="A3699" s="2"/>
      <c r="B3699" s="2"/>
      <c r="C3699" s="2"/>
      <c r="D3699" s="2">
        <v>18</v>
      </c>
      <c r="E3699" s="2" t="s">
        <v>111</v>
      </c>
      <c r="F3699" s="24">
        <v>100</v>
      </c>
      <c r="G3699" s="24">
        <f>I3698+350</f>
        <v>8950</v>
      </c>
      <c r="H3699" s="24">
        <f>H3698+100</f>
        <v>700</v>
      </c>
      <c r="I3699" s="24">
        <f>G3699</f>
        <v>8950</v>
      </c>
      <c r="J3699" s="24">
        <f>H3699+250</f>
        <v>950</v>
      </c>
      <c r="K3699" s="24"/>
      <c r="L3699" s="24"/>
      <c r="M3699" s="24"/>
      <c r="N3699" s="24"/>
    </row>
    <row r="3700" spans="1:14">
      <c r="A3700" s="2"/>
      <c r="B3700" s="2"/>
      <c r="C3700" s="2"/>
      <c r="D3700" s="2">
        <v>18</v>
      </c>
      <c r="E3700" s="2" t="s">
        <v>111</v>
      </c>
      <c r="F3700" s="24">
        <v>100</v>
      </c>
      <c r="G3700" s="24">
        <f>I3698+900</f>
        <v>9500</v>
      </c>
      <c r="H3700" s="24">
        <f>H3698+100</f>
        <v>700</v>
      </c>
      <c r="I3700" s="24">
        <f>G3700</f>
        <v>9500</v>
      </c>
      <c r="J3700" s="24">
        <f>H3700+250</f>
        <v>950</v>
      </c>
      <c r="K3700" s="24"/>
      <c r="L3700" s="24"/>
      <c r="M3700" s="24"/>
      <c r="N3700" s="24"/>
    </row>
    <row r="3701" spans="1:14">
      <c r="A3701" s="2"/>
      <c r="B3701" s="2"/>
      <c r="C3701" s="2"/>
      <c r="D3701">
        <v>4</v>
      </c>
      <c r="E3701" t="s">
        <v>15</v>
      </c>
      <c r="F3701" s="6">
        <v>3</v>
      </c>
      <c r="G3701" s="24"/>
      <c r="H3701" s="24"/>
      <c r="I3701" s="24"/>
      <c r="J3701" s="24"/>
      <c r="K3701" s="24"/>
      <c r="L3701" s="24"/>
      <c r="M3701" s="24"/>
      <c r="N3701" s="24"/>
    </row>
    <row r="3702" spans="1:14">
      <c r="A3702" s="2"/>
      <c r="B3702" s="2"/>
      <c r="C3702" s="2"/>
      <c r="D3702" s="2">
        <f>F3702*2+4</f>
        <v>12</v>
      </c>
      <c r="E3702" s="2" t="s">
        <v>4</v>
      </c>
      <c r="F3702" s="24">
        <v>4</v>
      </c>
      <c r="G3702" s="24">
        <f>A3688</f>
        <v>300</v>
      </c>
      <c r="H3702" s="24">
        <f>B3688</f>
        <v>3200</v>
      </c>
      <c r="I3702" s="24">
        <f>G3702+2000</f>
        <v>2300</v>
      </c>
      <c r="J3702" s="24">
        <f>L3702</f>
        <v>1200</v>
      </c>
      <c r="K3702" s="24">
        <f>G3702+5000</f>
        <v>5300</v>
      </c>
      <c r="L3702" s="24">
        <f>H3702-2000</f>
        <v>1200</v>
      </c>
      <c r="M3702" s="6">
        <f>K3702</f>
        <v>5300</v>
      </c>
      <c r="N3702" s="6">
        <f>H3702</f>
        <v>3200</v>
      </c>
    </row>
    <row r="3703" spans="1:14">
      <c r="A3703" s="2"/>
      <c r="B3703" s="2"/>
      <c r="C3703" s="2"/>
      <c r="D3703" s="2">
        <f>F3703*2+4</f>
        <v>12</v>
      </c>
      <c r="E3703" s="2" t="s">
        <v>4</v>
      </c>
      <c r="F3703" s="24">
        <v>4</v>
      </c>
      <c r="G3703" s="24">
        <f>A3693</f>
        <v>7300</v>
      </c>
      <c r="H3703" s="24">
        <f>B3693</f>
        <v>3200</v>
      </c>
      <c r="I3703" s="24">
        <f>G3703+2000</f>
        <v>9300</v>
      </c>
      <c r="J3703" s="24">
        <f>L3703</f>
        <v>1200</v>
      </c>
      <c r="K3703" s="24">
        <f>G3703+5000</f>
        <v>12300</v>
      </c>
      <c r="L3703" s="24">
        <f>H3703-2000</f>
        <v>1200</v>
      </c>
      <c r="M3703" s="6">
        <f>K3703</f>
        <v>12300</v>
      </c>
      <c r="N3703" s="6">
        <f>H3703</f>
        <v>3200</v>
      </c>
    </row>
    <row r="3704" spans="1:14">
      <c r="A3704" s="2"/>
      <c r="B3704" s="2"/>
      <c r="C3704" s="2"/>
      <c r="D3704">
        <v>4</v>
      </c>
      <c r="E3704" t="s">
        <v>15</v>
      </c>
      <c r="F3704" s="6">
        <v>5</v>
      </c>
      <c r="G3704" s="24"/>
      <c r="H3704" s="24"/>
      <c r="I3704" s="24"/>
      <c r="J3704" s="24"/>
      <c r="K3704" s="24"/>
      <c r="L3704" s="24"/>
      <c r="M3704" s="24"/>
      <c r="N3704" s="24"/>
    </row>
    <row r="3705" spans="1:14">
      <c r="A3705" s="2"/>
      <c r="B3705" s="2"/>
      <c r="C3705" s="2"/>
      <c r="D3705" s="2">
        <f>F3705*2+4</f>
        <v>10</v>
      </c>
      <c r="E3705" s="2" t="s">
        <v>4</v>
      </c>
      <c r="F3705" s="24">
        <v>3</v>
      </c>
      <c r="G3705" s="24">
        <f>G3702</f>
        <v>300</v>
      </c>
      <c r="H3705" s="24">
        <f>H3702</f>
        <v>3200</v>
      </c>
      <c r="I3705" s="24">
        <f>I3702</f>
        <v>2300</v>
      </c>
      <c r="J3705" s="24">
        <f>J3702</f>
        <v>1200</v>
      </c>
      <c r="K3705" s="24">
        <f>I3705-1000</f>
        <v>1300</v>
      </c>
      <c r="L3705" s="24">
        <f>J3705</f>
        <v>1200</v>
      </c>
      <c r="M3705" s="24"/>
      <c r="N3705" s="24"/>
    </row>
    <row r="3706" spans="1:14">
      <c r="A3706" s="2"/>
      <c r="B3706" s="2"/>
      <c r="C3706" s="2"/>
      <c r="D3706">
        <v>4</v>
      </c>
      <c r="E3706" t="s">
        <v>15</v>
      </c>
      <c r="F3706" s="6">
        <v>4</v>
      </c>
      <c r="G3706" s="24"/>
      <c r="H3706" s="24"/>
      <c r="I3706" s="24"/>
      <c r="J3706" s="24"/>
      <c r="K3706" s="24"/>
      <c r="L3706" s="24"/>
      <c r="M3706" s="24"/>
      <c r="N3706" s="24"/>
    </row>
    <row r="3707" spans="1:14">
      <c r="A3707" s="2"/>
      <c r="B3707" s="2"/>
      <c r="C3707" s="2"/>
      <c r="D3707" s="2">
        <f>F3707*2+4</f>
        <v>10</v>
      </c>
      <c r="E3707" s="2" t="s">
        <v>4</v>
      </c>
      <c r="F3707" s="24">
        <v>3</v>
      </c>
      <c r="G3707" s="24">
        <f>G3703</f>
        <v>7300</v>
      </c>
      <c r="H3707" s="24">
        <f>H3703</f>
        <v>3200</v>
      </c>
      <c r="I3707" s="24">
        <f>I3703</f>
        <v>9300</v>
      </c>
      <c r="J3707" s="24">
        <f>J3703</f>
        <v>1200</v>
      </c>
      <c r="K3707" s="24">
        <f>I3707+300</f>
        <v>9600</v>
      </c>
      <c r="L3707" s="24">
        <f>J3707</f>
        <v>1200</v>
      </c>
      <c r="M3707" s="24"/>
      <c r="N3707" s="24"/>
    </row>
    <row r="3708" spans="1:14">
      <c r="A3708" s="2"/>
      <c r="B3708" s="2"/>
      <c r="C3708" s="2"/>
      <c r="D3708" s="2"/>
      <c r="E3708" s="2"/>
      <c r="F3708" s="24"/>
      <c r="G3708" s="24"/>
      <c r="H3708" s="24"/>
      <c r="I3708" s="24"/>
      <c r="J3708" s="24"/>
      <c r="K3708" s="24"/>
      <c r="L3708" s="24"/>
      <c r="M3708" s="24"/>
      <c r="N3708" s="24"/>
    </row>
    <row r="3709" spans="1:14">
      <c r="A3709" s="1" t="s">
        <v>2</v>
      </c>
      <c r="B3709" s="1" t="s">
        <v>3</v>
      </c>
      <c r="D3709" s="2">
        <v>18</v>
      </c>
      <c r="E3709" s="2" t="s">
        <v>111</v>
      </c>
      <c r="F3709" s="24">
        <v>250</v>
      </c>
      <c r="G3709" s="24">
        <f>A3710-100</f>
        <v>200</v>
      </c>
      <c r="H3709" s="24">
        <f>B3710</f>
        <v>3200</v>
      </c>
      <c r="I3709" s="24">
        <f>G3709+6000</f>
        <v>6200</v>
      </c>
      <c r="J3709" s="24">
        <f>H3709</f>
        <v>3200</v>
      </c>
      <c r="K3709" s="24"/>
      <c r="L3709" s="24"/>
    </row>
    <row r="3710" spans="1:14">
      <c r="A3710" s="1">
        <v>300</v>
      </c>
      <c r="B3710" s="1">
        <v>3200</v>
      </c>
      <c r="D3710" s="2">
        <v>18</v>
      </c>
      <c r="E3710" s="2" t="s">
        <v>111</v>
      </c>
      <c r="F3710" s="24">
        <v>250</v>
      </c>
      <c r="G3710" s="24">
        <f>A3710</f>
        <v>300</v>
      </c>
      <c r="H3710" s="24">
        <f>B3710+100</f>
        <v>3300</v>
      </c>
      <c r="I3710" s="24">
        <f>G3710</f>
        <v>300</v>
      </c>
      <c r="J3710" s="24">
        <f>H3710-2700</f>
        <v>600</v>
      </c>
      <c r="K3710" s="24"/>
      <c r="L3710" s="36"/>
      <c r="M3710" s="24"/>
      <c r="N3710" s="24"/>
    </row>
    <row r="3711" spans="1:14">
      <c r="A3711" s="2" t="s">
        <v>625</v>
      </c>
      <c r="B3711" s="2"/>
      <c r="C3711" s="2"/>
      <c r="D3711" s="2">
        <f>ROUNDUP(6+F3711/2,0)</f>
        <v>23</v>
      </c>
      <c r="E3711" s="2" t="s">
        <v>6</v>
      </c>
      <c r="F3711" s="24">
        <f>LEN(G3711)</f>
        <v>33</v>
      </c>
      <c r="G3711" s="24" t="s">
        <v>621</v>
      </c>
      <c r="H3711" s="24">
        <f>B3710-3100</f>
        <v>100</v>
      </c>
      <c r="I3711" s="24">
        <f>A3710-300</f>
        <v>0</v>
      </c>
      <c r="J3711" s="24"/>
      <c r="M3711" s="24"/>
      <c r="N3711" s="24"/>
    </row>
    <row r="3712" spans="1:14">
      <c r="D3712" s="2">
        <f>ROUNDUP(6+F3712/2,0)</f>
        <v>9</v>
      </c>
      <c r="E3712" s="2" t="s">
        <v>6</v>
      </c>
      <c r="F3712" s="24">
        <f>LEN(G3712)</f>
        <v>5</v>
      </c>
      <c r="G3712" s="24" t="s">
        <v>622</v>
      </c>
      <c r="H3712" s="24">
        <f>H3711+500</f>
        <v>600</v>
      </c>
      <c r="I3712" s="24">
        <f>I3711+500</f>
        <v>500</v>
      </c>
      <c r="J3712" s="2"/>
      <c r="K3712" s="24"/>
      <c r="L3712" s="24"/>
      <c r="M3712" s="24"/>
      <c r="N3712" s="24"/>
    </row>
    <row r="3713" spans="1:14">
      <c r="D3713" s="2">
        <v>18</v>
      </c>
      <c r="E3713" s="2" t="s">
        <v>111</v>
      </c>
      <c r="F3713" s="24">
        <v>100</v>
      </c>
      <c r="G3713" s="24">
        <f>I3712+350</f>
        <v>850</v>
      </c>
      <c r="H3713" s="24">
        <f>J3713+250</f>
        <v>950</v>
      </c>
      <c r="I3713" s="24">
        <f>G3713</f>
        <v>850</v>
      </c>
      <c r="J3713" s="24">
        <f>H3712+100</f>
        <v>700</v>
      </c>
      <c r="K3713" s="24"/>
      <c r="L3713" s="2"/>
    </row>
    <row r="3714" spans="1:14">
      <c r="D3714" s="2">
        <v>18</v>
      </c>
      <c r="E3714" s="2" t="s">
        <v>111</v>
      </c>
      <c r="F3714" s="24">
        <v>100</v>
      </c>
      <c r="G3714" s="24">
        <f>G3713+600</f>
        <v>1450</v>
      </c>
      <c r="H3714" s="24">
        <f>J3713</f>
        <v>700</v>
      </c>
      <c r="I3714" s="24">
        <f>G3714</f>
        <v>1450</v>
      </c>
      <c r="J3714" s="24">
        <f>H3713</f>
        <v>950</v>
      </c>
      <c r="K3714" s="24"/>
      <c r="L3714" s="2"/>
    </row>
    <row r="3715" spans="1:14">
      <c r="A3715" s="1" t="s">
        <v>2</v>
      </c>
      <c r="B3715" s="1" t="s">
        <v>3</v>
      </c>
      <c r="D3715" s="2">
        <v>18</v>
      </c>
      <c r="E3715" s="2" t="s">
        <v>111</v>
      </c>
      <c r="F3715" s="24">
        <v>250</v>
      </c>
      <c r="G3715" s="24">
        <f>A3716-100</f>
        <v>7200</v>
      </c>
      <c r="H3715" s="24">
        <f>B3716</f>
        <v>3200</v>
      </c>
      <c r="I3715" s="24">
        <f>G3715+7000</f>
        <v>14200</v>
      </c>
      <c r="J3715" s="24">
        <f>H3715</f>
        <v>3200</v>
      </c>
      <c r="K3715" s="24"/>
      <c r="L3715" s="24"/>
    </row>
    <row r="3716" spans="1:14">
      <c r="A3716" s="1">
        <v>7300</v>
      </c>
      <c r="B3716" s="1">
        <v>3200</v>
      </c>
      <c r="D3716" s="2">
        <v>18</v>
      </c>
      <c r="E3716" s="2" t="s">
        <v>111</v>
      </c>
      <c r="F3716" s="24">
        <v>250</v>
      </c>
      <c r="G3716" s="24">
        <f>A3716</f>
        <v>7300</v>
      </c>
      <c r="H3716" s="24">
        <f>B3716+100</f>
        <v>3300</v>
      </c>
      <c r="I3716" s="24">
        <f>G3716</f>
        <v>7300</v>
      </c>
      <c r="J3716" s="24">
        <f>H3716-2700</f>
        <v>600</v>
      </c>
      <c r="K3716" s="24"/>
      <c r="L3716" s="36"/>
      <c r="M3716" s="24"/>
      <c r="N3716" s="24"/>
    </row>
    <row r="3717" spans="1:14">
      <c r="A3717" s="2"/>
      <c r="B3717" s="2"/>
      <c r="C3717" s="2"/>
      <c r="D3717" s="2">
        <f>ROUNDUP(6+F3717/2,0)</f>
        <v>22</v>
      </c>
      <c r="E3717" s="2" t="s">
        <v>6</v>
      </c>
      <c r="F3717" s="24">
        <f>LEN(G3717)</f>
        <v>32</v>
      </c>
      <c r="G3717" s="24" t="s">
        <v>623</v>
      </c>
      <c r="H3717" s="24">
        <f>B3716-3100</f>
        <v>100</v>
      </c>
      <c r="I3717" s="24">
        <f>A3716-300</f>
        <v>7000</v>
      </c>
      <c r="J3717" s="24"/>
      <c r="M3717" s="24"/>
      <c r="N3717" s="24"/>
    </row>
    <row r="3718" spans="1:14">
      <c r="D3718" s="2">
        <f>ROUNDUP(6+F3718/2,0)</f>
        <v>7</v>
      </c>
      <c r="E3718" s="2" t="s">
        <v>6</v>
      </c>
      <c r="F3718" s="24">
        <f>LEN(G3718)</f>
        <v>1</v>
      </c>
      <c r="G3718" s="24" t="s">
        <v>21</v>
      </c>
      <c r="H3718" s="24">
        <f>H3717+500</f>
        <v>600</v>
      </c>
      <c r="I3718" s="24">
        <f>I3717+500</f>
        <v>7500</v>
      </c>
      <c r="K3718" s="24"/>
      <c r="L3718" s="24"/>
      <c r="M3718" s="24"/>
      <c r="N3718" s="24"/>
    </row>
    <row r="3719" spans="1:14">
      <c r="D3719" s="2">
        <v>18</v>
      </c>
      <c r="E3719" s="2" t="s">
        <v>111</v>
      </c>
      <c r="F3719" s="24">
        <v>100</v>
      </c>
      <c r="G3719" s="24">
        <f>I3718+350</f>
        <v>7850</v>
      </c>
      <c r="H3719" s="24">
        <f>J3719+250</f>
        <v>950</v>
      </c>
      <c r="I3719" s="24">
        <f>G3719</f>
        <v>7850</v>
      </c>
      <c r="J3719" s="24">
        <f>H3718+100</f>
        <v>700</v>
      </c>
      <c r="K3719" s="24"/>
      <c r="L3719" s="24"/>
    </row>
    <row r="3720" spans="1:14">
      <c r="A3720" s="1" t="s">
        <v>2</v>
      </c>
      <c r="B3720" s="1" t="s">
        <v>3</v>
      </c>
      <c r="D3720" s="2">
        <v>18</v>
      </c>
      <c r="E3720" s="2" t="s">
        <v>111</v>
      </c>
      <c r="F3720" s="24">
        <v>250</v>
      </c>
      <c r="G3720" s="24">
        <f>A3721-100</f>
        <v>200</v>
      </c>
      <c r="H3720" s="24">
        <f>B3721</f>
        <v>6600</v>
      </c>
      <c r="I3720" s="24">
        <f>G3720+6000</f>
        <v>6200</v>
      </c>
      <c r="J3720" s="24">
        <f>H3720</f>
        <v>6600</v>
      </c>
      <c r="K3720" s="2"/>
      <c r="L3720" s="2"/>
      <c r="M3720" s="2"/>
      <c r="N3720" s="2"/>
    </row>
    <row r="3721" spans="1:14">
      <c r="A3721" s="1">
        <v>300</v>
      </c>
      <c r="B3721" s="1">
        <v>6600</v>
      </c>
      <c r="D3721" s="2">
        <v>18</v>
      </c>
      <c r="E3721" s="2" t="s">
        <v>111</v>
      </c>
      <c r="F3721" s="24">
        <v>250</v>
      </c>
      <c r="G3721" s="24">
        <f>A3721</f>
        <v>300</v>
      </c>
      <c r="H3721" s="24">
        <f>B3721+100</f>
        <v>6700</v>
      </c>
      <c r="I3721" s="24">
        <f>G3721</f>
        <v>300</v>
      </c>
      <c r="J3721" s="24">
        <f>H3721-2700</f>
        <v>4000</v>
      </c>
      <c r="K3721" s="2"/>
      <c r="L3721" s="2"/>
      <c r="M3721" s="2"/>
      <c r="N3721" s="2"/>
    </row>
    <row r="3722" spans="1:14">
      <c r="A3722" s="2"/>
      <c r="B3722" s="2"/>
      <c r="C3722" s="2"/>
      <c r="D3722" s="2">
        <f>ROUNDUP(6+F3722/2,0)</f>
        <v>23</v>
      </c>
      <c r="E3722" s="2" t="s">
        <v>6</v>
      </c>
      <c r="F3722" s="24">
        <f>LEN(G3722)</f>
        <v>33</v>
      </c>
      <c r="G3722" s="24" t="s">
        <v>626</v>
      </c>
      <c r="H3722" s="24">
        <f>B3721-3100</f>
        <v>3500</v>
      </c>
      <c r="I3722" s="24">
        <f>A3721-300</f>
        <v>0</v>
      </c>
      <c r="J3722" s="24"/>
      <c r="K3722" s="2"/>
      <c r="L3722" s="2"/>
      <c r="M3722" s="2"/>
      <c r="N3722" s="2"/>
    </row>
    <row r="3723" spans="1:14">
      <c r="D3723" s="2">
        <f>ROUNDUP(6+F3723/2,0)</f>
        <v>7</v>
      </c>
      <c r="E3723" s="2" t="s">
        <v>6</v>
      </c>
      <c r="F3723" s="24">
        <f>LEN(G3723)</f>
        <v>1</v>
      </c>
      <c r="G3723" s="24" t="s">
        <v>18</v>
      </c>
      <c r="H3723" s="24">
        <f>H3722+500</f>
        <v>4000</v>
      </c>
      <c r="I3723" s="24">
        <f>I3722+500</f>
        <v>500</v>
      </c>
      <c r="K3723" s="2"/>
      <c r="L3723" s="2"/>
      <c r="M3723" s="2"/>
      <c r="N3723" s="2"/>
    </row>
    <row r="3724" spans="1:14">
      <c r="D3724" s="2">
        <v>18</v>
      </c>
      <c r="E3724" s="2" t="s">
        <v>111</v>
      </c>
      <c r="F3724" s="24">
        <v>100</v>
      </c>
      <c r="G3724" s="24">
        <f>I3723+350</f>
        <v>850</v>
      </c>
      <c r="H3724" s="24">
        <f>J3724+250</f>
        <v>4350</v>
      </c>
      <c r="I3724" s="24">
        <f>G3724</f>
        <v>850</v>
      </c>
      <c r="J3724" s="24">
        <f>H3723+100</f>
        <v>4100</v>
      </c>
      <c r="K3724" s="2"/>
      <c r="L3724" s="2"/>
      <c r="M3724" s="2"/>
      <c r="N3724" s="2"/>
    </row>
    <row r="3725" spans="1:14">
      <c r="A3725" s="1" t="s">
        <v>2</v>
      </c>
      <c r="B3725" s="1" t="s">
        <v>3</v>
      </c>
      <c r="D3725" s="2">
        <v>18</v>
      </c>
      <c r="E3725" s="2" t="s">
        <v>111</v>
      </c>
      <c r="F3725" s="24">
        <v>250</v>
      </c>
      <c r="G3725" s="24">
        <f>A3726-100</f>
        <v>7200</v>
      </c>
      <c r="H3725" s="24">
        <f>B3726</f>
        <v>6600</v>
      </c>
      <c r="I3725" s="24">
        <f>G3725+7000</f>
        <v>14200</v>
      </c>
      <c r="J3725" s="24">
        <f>H3725</f>
        <v>6600</v>
      </c>
      <c r="K3725" s="2"/>
      <c r="L3725" s="2"/>
      <c r="M3725" s="2"/>
      <c r="N3725" s="2"/>
    </row>
    <row r="3726" spans="1:14">
      <c r="A3726" s="1">
        <v>7300</v>
      </c>
      <c r="B3726" s="1">
        <f>B3721</f>
        <v>6600</v>
      </c>
      <c r="D3726" s="2">
        <v>18</v>
      </c>
      <c r="E3726" s="2" t="s">
        <v>111</v>
      </c>
      <c r="F3726" s="24">
        <v>250</v>
      </c>
      <c r="G3726" s="24">
        <f>A3726</f>
        <v>7300</v>
      </c>
      <c r="H3726" s="24">
        <f>B3726+100</f>
        <v>6700</v>
      </c>
      <c r="I3726" s="24">
        <f>G3726</f>
        <v>7300</v>
      </c>
      <c r="J3726" s="24">
        <f>H3726-2700</f>
        <v>4000</v>
      </c>
      <c r="K3726" s="24"/>
      <c r="L3726" s="24"/>
      <c r="M3726" s="24"/>
      <c r="N3726" s="24"/>
    </row>
    <row r="3727" spans="1:14">
      <c r="A3727" s="2"/>
      <c r="B3727" s="2"/>
      <c r="C3727" s="2"/>
      <c r="D3727" s="2">
        <f>ROUNDUP(6+F3727/2,0)</f>
        <v>24</v>
      </c>
      <c r="E3727" s="2" t="s">
        <v>6</v>
      </c>
      <c r="F3727" s="24">
        <f>LEN(G3727)</f>
        <v>36</v>
      </c>
      <c r="G3727" s="24" t="s">
        <v>624</v>
      </c>
      <c r="H3727" s="24">
        <f>B3726-3100</f>
        <v>3500</v>
      </c>
      <c r="I3727" s="24">
        <f>A3726-300</f>
        <v>7000</v>
      </c>
      <c r="J3727" s="24"/>
      <c r="K3727" s="24"/>
      <c r="L3727" s="24"/>
      <c r="M3727" s="24"/>
      <c r="N3727" s="24"/>
    </row>
    <row r="3728" spans="1:14">
      <c r="D3728" s="2">
        <f>ROUNDUP(6+F3728/2,0)</f>
        <v>8</v>
      </c>
      <c r="E3728" s="2" t="s">
        <v>6</v>
      </c>
      <c r="F3728" s="24">
        <f>LEN(G3728)</f>
        <v>4</v>
      </c>
      <c r="G3728" s="24" t="s">
        <v>627</v>
      </c>
      <c r="H3728" s="24">
        <f>H3727+500</f>
        <v>4000</v>
      </c>
      <c r="I3728" s="24">
        <f>I3727+500</f>
        <v>7500</v>
      </c>
      <c r="K3728" s="24"/>
      <c r="L3728" s="24"/>
      <c r="M3728" s="24"/>
      <c r="N3728" s="24"/>
    </row>
    <row r="3729" spans="1:28">
      <c r="D3729" s="2">
        <v>18</v>
      </c>
      <c r="E3729" s="2" t="s">
        <v>111</v>
      </c>
      <c r="F3729" s="24">
        <v>100</v>
      </c>
      <c r="G3729" s="24">
        <f>I3728+350</f>
        <v>7850</v>
      </c>
      <c r="H3729" s="24">
        <f>J3729+250</f>
        <v>4350</v>
      </c>
      <c r="I3729" s="24">
        <f>G3729</f>
        <v>7850</v>
      </c>
      <c r="J3729" s="24">
        <f>H3728+100</f>
        <v>4100</v>
      </c>
      <c r="K3729" s="24"/>
      <c r="L3729" s="24"/>
      <c r="M3729" s="24"/>
      <c r="N3729" s="24"/>
    </row>
    <row r="3730" spans="1:28">
      <c r="D3730" s="2">
        <v>18</v>
      </c>
      <c r="E3730" s="2" t="s">
        <v>111</v>
      </c>
      <c r="F3730" s="24">
        <v>100</v>
      </c>
      <c r="G3730" s="24">
        <f>G3729+400</f>
        <v>8250</v>
      </c>
      <c r="H3730" s="24">
        <f>J3729</f>
        <v>4100</v>
      </c>
      <c r="I3730" s="24">
        <f>G3730</f>
        <v>8250</v>
      </c>
      <c r="J3730" s="24">
        <f>H3729</f>
        <v>4350</v>
      </c>
      <c r="K3730" s="24"/>
      <c r="L3730" s="24"/>
      <c r="M3730" s="24"/>
      <c r="N3730" s="24"/>
    </row>
    <row r="3731" spans="1:28">
      <c r="C3731" s="2"/>
      <c r="D3731">
        <v>4</v>
      </c>
      <c r="E3731" t="s">
        <v>15</v>
      </c>
      <c r="F3731" s="6">
        <v>5</v>
      </c>
      <c r="G3731" s="24"/>
      <c r="H3731" s="24"/>
      <c r="I3731" s="24"/>
      <c r="J3731" s="24"/>
      <c r="K3731" s="24"/>
      <c r="L3731" s="24"/>
      <c r="M3731" s="24"/>
      <c r="N3731" s="24"/>
    </row>
    <row r="3732" spans="1:28">
      <c r="C3732" s="2"/>
      <c r="D3732" s="2">
        <f>F3732*2+4</f>
        <v>12</v>
      </c>
      <c r="E3732" s="2" t="s">
        <v>4</v>
      </c>
      <c r="F3732" s="24">
        <v>4</v>
      </c>
      <c r="G3732" s="24">
        <f>A3710</f>
        <v>300</v>
      </c>
      <c r="H3732" s="24">
        <f>B3710</f>
        <v>3200</v>
      </c>
      <c r="I3732" s="24">
        <f>G3732+2000</f>
        <v>2300</v>
      </c>
      <c r="J3732" s="24">
        <f>L3732</f>
        <v>700</v>
      </c>
      <c r="K3732" s="24">
        <f>G3732+5000</f>
        <v>5300</v>
      </c>
      <c r="L3732" s="24">
        <f>H3732-2500</f>
        <v>700</v>
      </c>
      <c r="M3732" s="6">
        <f>K3732</f>
        <v>5300</v>
      </c>
      <c r="N3732" s="6">
        <f>H3732</f>
        <v>3200</v>
      </c>
    </row>
    <row r="3733" spans="1:28">
      <c r="C3733" s="2"/>
      <c r="D3733" s="2">
        <f>F3733*2+4</f>
        <v>12</v>
      </c>
      <c r="E3733" s="2" t="s">
        <v>4</v>
      </c>
      <c r="F3733" s="24">
        <v>4</v>
      </c>
      <c r="G3733" s="24">
        <f>A3716</f>
        <v>7300</v>
      </c>
      <c r="H3733" s="24">
        <f>B3716</f>
        <v>3200</v>
      </c>
      <c r="I3733" s="24">
        <f>G3733+2000</f>
        <v>9300</v>
      </c>
      <c r="J3733" s="24">
        <f>L3733</f>
        <v>700</v>
      </c>
      <c r="K3733" s="24">
        <f>G3733+5000</f>
        <v>12300</v>
      </c>
      <c r="L3733" s="24">
        <f>H3733-2500</f>
        <v>700</v>
      </c>
      <c r="M3733" s="6">
        <f>K3733</f>
        <v>12300</v>
      </c>
      <c r="N3733" s="6">
        <f>H3733</f>
        <v>3200</v>
      </c>
    </row>
    <row r="3734" spans="1:28">
      <c r="A3734" s="2"/>
      <c r="B3734" s="2"/>
      <c r="C3734" s="2"/>
      <c r="D3734" s="2">
        <f>F3734*2+4</f>
        <v>12</v>
      </c>
      <c r="E3734" s="2" t="s">
        <v>4</v>
      </c>
      <c r="F3734" s="24">
        <v>4</v>
      </c>
      <c r="G3734" s="24">
        <f>A3721</f>
        <v>300</v>
      </c>
      <c r="H3734" s="24">
        <f>B3721</f>
        <v>6600</v>
      </c>
      <c r="I3734" s="24">
        <f>G3734+1000</f>
        <v>1300</v>
      </c>
      <c r="J3734" s="24">
        <f>L3734</f>
        <v>4600</v>
      </c>
      <c r="K3734" s="24">
        <f>G3734+5000</f>
        <v>5300</v>
      </c>
      <c r="L3734" s="24">
        <f>H3734-2000</f>
        <v>4600</v>
      </c>
      <c r="M3734" s="6">
        <f>K3734</f>
        <v>5300</v>
      </c>
      <c r="N3734" s="6">
        <f>H3734</f>
        <v>6600</v>
      </c>
    </row>
    <row r="3735" spans="1:28">
      <c r="A3735" s="2"/>
      <c r="B3735" s="2"/>
      <c r="C3735" s="2"/>
      <c r="D3735" s="2">
        <f>F3735*2+4</f>
        <v>12</v>
      </c>
      <c r="E3735" s="2" t="s">
        <v>4</v>
      </c>
      <c r="F3735" s="24">
        <v>4</v>
      </c>
      <c r="G3735" s="24">
        <f>A3726</f>
        <v>7300</v>
      </c>
      <c r="H3735" s="24">
        <f>B3726</f>
        <v>6600</v>
      </c>
      <c r="I3735" s="24">
        <f>G3735+3000</f>
        <v>10300</v>
      </c>
      <c r="J3735" s="24">
        <f>L3735</f>
        <v>4600</v>
      </c>
      <c r="K3735" s="24">
        <f>G3735+6000</f>
        <v>13300</v>
      </c>
      <c r="L3735" s="24">
        <f>H3735-2000</f>
        <v>4600</v>
      </c>
      <c r="M3735" s="6">
        <f>K3735</f>
        <v>13300</v>
      </c>
      <c r="N3735" s="6">
        <f>H3735</f>
        <v>6600</v>
      </c>
    </row>
    <row r="3736" spans="1:28">
      <c r="A3736" s="2"/>
      <c r="B3736" s="2"/>
      <c r="C3736" s="2"/>
      <c r="D3736">
        <v>4</v>
      </c>
      <c r="E3736" t="s">
        <v>15</v>
      </c>
      <c r="F3736" s="6">
        <v>3</v>
      </c>
      <c r="G3736" s="24"/>
      <c r="H3736" s="24"/>
      <c r="I3736" s="24"/>
      <c r="J3736" s="24"/>
      <c r="K3736" s="24"/>
      <c r="L3736" s="24"/>
      <c r="M3736" s="24"/>
      <c r="N3736" s="24"/>
    </row>
    <row r="3737" spans="1:28">
      <c r="A3737" s="2"/>
      <c r="B3737" s="2"/>
      <c r="C3737" s="2"/>
      <c r="D3737" s="2">
        <f>F3737*2+4</f>
        <v>12</v>
      </c>
      <c r="E3737" s="2" t="s">
        <v>4</v>
      </c>
      <c r="F3737" s="24">
        <v>4</v>
      </c>
      <c r="G3737" s="24">
        <f>A3710</f>
        <v>300</v>
      </c>
      <c r="H3737" s="24">
        <f>B3710</f>
        <v>3200</v>
      </c>
      <c r="I3737" s="24">
        <f>G3737+2000</f>
        <v>2300</v>
      </c>
      <c r="J3737" s="24">
        <f>L3737</f>
        <v>1200</v>
      </c>
      <c r="K3737" s="24">
        <f>G3737+5000</f>
        <v>5300</v>
      </c>
      <c r="L3737" s="24">
        <f>H3737-2000</f>
        <v>1200</v>
      </c>
      <c r="M3737" s="6">
        <f>K3737</f>
        <v>5300</v>
      </c>
      <c r="N3737" s="6">
        <f>H3737</f>
        <v>3200</v>
      </c>
    </row>
    <row r="3738" spans="1:28">
      <c r="A3738" s="2"/>
      <c r="B3738" s="2"/>
      <c r="C3738" s="2"/>
      <c r="D3738" s="2">
        <f>F3738*2+4</f>
        <v>12</v>
      </c>
      <c r="E3738" s="2" t="s">
        <v>4</v>
      </c>
      <c r="F3738" s="24">
        <v>4</v>
      </c>
      <c r="G3738" s="24">
        <f>A3716</f>
        <v>7300</v>
      </c>
      <c r="H3738" s="24">
        <f>B3716</f>
        <v>3200</v>
      </c>
      <c r="I3738" s="24">
        <f>G3738+2000</f>
        <v>9300</v>
      </c>
      <c r="J3738" s="24">
        <f>L3738</f>
        <v>1200</v>
      </c>
      <c r="K3738" s="24">
        <f>G3738+5000</f>
        <v>12300</v>
      </c>
      <c r="L3738" s="24">
        <f>H3738-2000</f>
        <v>1200</v>
      </c>
      <c r="M3738" s="6">
        <f>K3738</f>
        <v>12300</v>
      </c>
      <c r="N3738" s="6">
        <f>H3738</f>
        <v>3200</v>
      </c>
    </row>
    <row r="3739" spans="1:28">
      <c r="A3739" s="2"/>
      <c r="B3739" s="2"/>
      <c r="C3739" s="2"/>
      <c r="D3739" s="2">
        <f>F3739*2+4</f>
        <v>12</v>
      </c>
      <c r="E3739" s="2" t="s">
        <v>4</v>
      </c>
      <c r="F3739" s="24">
        <v>4</v>
      </c>
      <c r="G3739" s="24">
        <f>A3721</f>
        <v>300</v>
      </c>
      <c r="H3739" s="24">
        <f>B3721</f>
        <v>6600</v>
      </c>
      <c r="I3739" s="24">
        <f>G3739+2000</f>
        <v>2300</v>
      </c>
      <c r="J3739" s="24">
        <f>L3739</f>
        <v>4600</v>
      </c>
      <c r="K3739" s="24">
        <f>G3739+5000</f>
        <v>5300</v>
      </c>
      <c r="L3739" s="24">
        <f>H3739-2000</f>
        <v>4600</v>
      </c>
      <c r="M3739" s="6">
        <f>K3739</f>
        <v>5300</v>
      </c>
      <c r="N3739" s="6">
        <f>H3739</f>
        <v>6600</v>
      </c>
    </row>
    <row r="3740" spans="1:28">
      <c r="A3740" s="2"/>
      <c r="B3740" s="2"/>
      <c r="C3740" s="2"/>
      <c r="D3740" s="2">
        <f>F3740*2+4</f>
        <v>12</v>
      </c>
      <c r="E3740" s="2" t="s">
        <v>4</v>
      </c>
      <c r="F3740" s="24">
        <v>4</v>
      </c>
      <c r="G3740" s="24">
        <f>A3726</f>
        <v>7300</v>
      </c>
      <c r="H3740" s="24">
        <f>B3726</f>
        <v>6600</v>
      </c>
      <c r="I3740" s="24">
        <f>G3740+2000</f>
        <v>9300</v>
      </c>
      <c r="J3740" s="24">
        <f>L3740</f>
        <v>4600</v>
      </c>
      <c r="K3740" s="24">
        <f>G3740+5000</f>
        <v>12300</v>
      </c>
      <c r="L3740" s="24">
        <f>H3740-2000</f>
        <v>4600</v>
      </c>
      <c r="M3740" s="6">
        <f>K3740</f>
        <v>12300</v>
      </c>
      <c r="N3740" s="6">
        <f>H3740</f>
        <v>6600</v>
      </c>
    </row>
    <row r="3741" spans="1:28">
      <c r="A3741" s="2"/>
      <c r="B3741" s="2"/>
      <c r="C3741" s="2"/>
      <c r="D3741">
        <v>4</v>
      </c>
      <c r="E3741" t="s">
        <v>15</v>
      </c>
      <c r="F3741" s="6">
        <v>4</v>
      </c>
      <c r="G3741" s="24"/>
      <c r="H3741" s="24"/>
      <c r="I3741" s="24"/>
      <c r="J3741" s="24"/>
      <c r="K3741" s="24"/>
      <c r="L3741" s="24"/>
      <c r="M3741" s="24"/>
      <c r="N3741" s="24"/>
    </row>
    <row r="3742" spans="1:28">
      <c r="A3742" s="2"/>
      <c r="B3742" s="2"/>
      <c r="C3742" s="2"/>
      <c r="D3742" s="2">
        <f>F3742*2+4</f>
        <v>10</v>
      </c>
      <c r="E3742" s="2" t="s">
        <v>4</v>
      </c>
      <c r="F3742" s="24">
        <v>3</v>
      </c>
      <c r="G3742" s="2">
        <f>G3740</f>
        <v>7300</v>
      </c>
      <c r="H3742" s="2">
        <f>H3740</f>
        <v>6600</v>
      </c>
      <c r="I3742" s="2">
        <f>I3740</f>
        <v>9300</v>
      </c>
      <c r="J3742" s="2">
        <f>J3740</f>
        <v>4600</v>
      </c>
      <c r="K3742" s="24">
        <f>I3742+1000</f>
        <v>10300</v>
      </c>
      <c r="L3742" s="24">
        <f>J3742</f>
        <v>4600</v>
      </c>
      <c r="M3742" s="2"/>
      <c r="N3742" s="2"/>
    </row>
    <row r="3743" spans="1:28">
      <c r="A3743" s="2"/>
      <c r="B3743" s="2"/>
      <c r="C3743" s="2"/>
      <c r="D3743" s="2"/>
      <c r="E3743" s="2"/>
      <c r="F3743" s="24"/>
      <c r="G3743" s="2"/>
      <c r="H3743" s="2"/>
      <c r="I3743" s="2"/>
      <c r="J3743" s="2"/>
      <c r="K3743" s="24"/>
      <c r="L3743" s="24"/>
      <c r="M3743" s="2"/>
      <c r="N3743" s="2"/>
    </row>
    <row r="3744" spans="1:28">
      <c r="A3744" s="1" t="s">
        <v>2</v>
      </c>
      <c r="B3744" s="1" t="s">
        <v>3</v>
      </c>
      <c r="D3744" s="2">
        <v>18</v>
      </c>
      <c r="E3744" s="2" t="s">
        <v>111</v>
      </c>
      <c r="F3744" s="24">
        <v>250</v>
      </c>
      <c r="G3744" s="24">
        <f>A3745-100</f>
        <v>200</v>
      </c>
      <c r="H3744" s="24">
        <f>B3745</f>
        <v>3200</v>
      </c>
      <c r="I3744" s="24">
        <f>G3744+6000</f>
        <v>6200</v>
      </c>
      <c r="J3744" s="24">
        <f>H3744</f>
        <v>3200</v>
      </c>
      <c r="K3744" s="24"/>
      <c r="L3744" s="24"/>
      <c r="O3744" s="36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</row>
    <row r="3745" spans="1:28">
      <c r="A3745" s="1">
        <v>300</v>
      </c>
      <c r="B3745" s="1">
        <v>3200</v>
      </c>
      <c r="D3745" s="2">
        <v>18</v>
      </c>
      <c r="E3745" s="2" t="s">
        <v>111</v>
      </c>
      <c r="F3745" s="24">
        <v>250</v>
      </c>
      <c r="G3745" s="24">
        <f>A3745</f>
        <v>300</v>
      </c>
      <c r="H3745" s="24">
        <f>B3745+100</f>
        <v>3300</v>
      </c>
      <c r="I3745" s="24">
        <f>G3745</f>
        <v>300</v>
      </c>
      <c r="J3745" s="24">
        <f>H3745-2700</f>
        <v>600</v>
      </c>
      <c r="K3745" s="24"/>
      <c r="L3745" s="36"/>
      <c r="M3745" s="24"/>
      <c r="N3745" s="24"/>
      <c r="O3745" s="24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</row>
    <row r="3746" spans="1:28">
      <c r="A3746" s="2" t="s">
        <v>630</v>
      </c>
      <c r="B3746" s="2"/>
      <c r="C3746" s="2"/>
      <c r="D3746" s="2">
        <f>ROUNDUP(6+F3746/2,0)</f>
        <v>12</v>
      </c>
      <c r="E3746" s="2" t="s">
        <v>6</v>
      </c>
      <c r="F3746" s="24">
        <f>LEN(G3746)</f>
        <v>12</v>
      </c>
      <c r="G3746" s="24" t="s">
        <v>628</v>
      </c>
      <c r="H3746" s="24">
        <f>B3745-3100</f>
        <v>100</v>
      </c>
      <c r="I3746" s="24">
        <f>A3745-300</f>
        <v>0</v>
      </c>
      <c r="J3746" s="24"/>
      <c r="M3746" s="24"/>
      <c r="N3746" s="24"/>
      <c r="O3746" s="24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</row>
    <row r="3747" spans="1:28">
      <c r="D3747" s="2">
        <f>ROUNDUP(6+F3747/2,0)</f>
        <v>7</v>
      </c>
      <c r="E3747" s="2" t="s">
        <v>6</v>
      </c>
      <c r="F3747" s="24">
        <f>LEN(G3747)</f>
        <v>1</v>
      </c>
      <c r="G3747" s="24" t="s">
        <v>21</v>
      </c>
      <c r="H3747" s="24">
        <f>H3746+500</f>
        <v>600</v>
      </c>
      <c r="I3747" s="24">
        <f>I3746+500</f>
        <v>500</v>
      </c>
      <c r="J3747" s="2"/>
      <c r="K3747" s="24"/>
      <c r="L3747" s="24"/>
      <c r="M3747" s="24"/>
      <c r="N3747" s="24"/>
      <c r="O3747" s="24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</row>
    <row r="3748" spans="1:28">
      <c r="D3748" s="2">
        <v>18</v>
      </c>
      <c r="E3748" s="2" t="s">
        <v>111</v>
      </c>
      <c r="F3748" s="24">
        <v>100</v>
      </c>
      <c r="G3748" s="24">
        <f>I3747+350</f>
        <v>850</v>
      </c>
      <c r="H3748" s="24">
        <f>J3748+250</f>
        <v>950</v>
      </c>
      <c r="I3748" s="24">
        <f>G3748</f>
        <v>850</v>
      </c>
      <c r="J3748" s="24">
        <f>H3747+100</f>
        <v>700</v>
      </c>
      <c r="K3748" s="24"/>
      <c r="L3748" s="2"/>
      <c r="O3748" s="24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</row>
    <row r="3749" spans="1:28">
      <c r="D3749" s="2">
        <v>18</v>
      </c>
      <c r="E3749" s="2" t="s">
        <v>111</v>
      </c>
      <c r="F3749" s="24">
        <v>100</v>
      </c>
      <c r="G3749" s="24">
        <f>G3748+150</f>
        <v>1000</v>
      </c>
      <c r="H3749" s="24">
        <f>H3748</f>
        <v>950</v>
      </c>
      <c r="I3749" s="24">
        <f>G3749</f>
        <v>1000</v>
      </c>
      <c r="J3749" s="24">
        <f>J3748</f>
        <v>700</v>
      </c>
      <c r="K3749" s="24"/>
      <c r="L3749" s="2"/>
      <c r="O3749" s="24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</row>
    <row r="3750" spans="1:28">
      <c r="A3750" s="1" t="s">
        <v>2</v>
      </c>
      <c r="B3750" s="1" t="s">
        <v>3</v>
      </c>
      <c r="D3750" s="2">
        <v>18</v>
      </c>
      <c r="E3750" s="2" t="s">
        <v>111</v>
      </c>
      <c r="F3750" s="24">
        <v>250</v>
      </c>
      <c r="G3750" s="24">
        <f>A3751-100</f>
        <v>7200</v>
      </c>
      <c r="H3750" s="24">
        <f>B3751</f>
        <v>3200</v>
      </c>
      <c r="I3750" s="24">
        <f>G3750+6000</f>
        <v>13200</v>
      </c>
      <c r="J3750" s="24">
        <f>H3750</f>
        <v>3200</v>
      </c>
      <c r="K3750" s="24"/>
      <c r="L3750" s="24"/>
      <c r="O3750" s="24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</row>
    <row r="3751" spans="1:28">
      <c r="A3751" s="1">
        <v>7300</v>
      </c>
      <c r="B3751" s="1">
        <v>3200</v>
      </c>
      <c r="D3751" s="2">
        <v>18</v>
      </c>
      <c r="E3751" s="2" t="s">
        <v>111</v>
      </c>
      <c r="F3751" s="24">
        <v>250</v>
      </c>
      <c r="G3751" s="24">
        <f>A3751</f>
        <v>7300</v>
      </c>
      <c r="H3751" s="24">
        <f>B3751+100</f>
        <v>3300</v>
      </c>
      <c r="I3751" s="24">
        <f>G3751</f>
        <v>7300</v>
      </c>
      <c r="J3751" s="24">
        <f>H3751-2700</f>
        <v>600</v>
      </c>
      <c r="K3751" s="24"/>
      <c r="L3751" s="36"/>
      <c r="M3751" s="24"/>
      <c r="N3751" s="24"/>
      <c r="O3751" s="24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</row>
    <row r="3752" spans="1:28">
      <c r="A3752" s="2"/>
      <c r="B3752" s="2"/>
      <c r="C3752" s="2"/>
      <c r="D3752" s="2">
        <f>ROUNDUP(6+F3752/2,0)</f>
        <v>12</v>
      </c>
      <c r="E3752" s="2" t="s">
        <v>6</v>
      </c>
      <c r="F3752" s="24">
        <f>LEN(G3752)</f>
        <v>11</v>
      </c>
      <c r="G3752" s="24" t="s">
        <v>629</v>
      </c>
      <c r="H3752" s="24">
        <f>B3751-3100</f>
        <v>100</v>
      </c>
      <c r="I3752" s="24">
        <f>A3751-300</f>
        <v>7000</v>
      </c>
      <c r="J3752" s="24"/>
      <c r="M3752" s="24"/>
      <c r="N3752" s="24"/>
      <c r="O3752" s="24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</row>
    <row r="3753" spans="1:28">
      <c r="D3753" s="2">
        <f>ROUNDUP(6+F3753/2,0)</f>
        <v>7</v>
      </c>
      <c r="E3753" s="2" t="s">
        <v>6</v>
      </c>
      <c r="F3753" s="24">
        <f>LEN(G3753)</f>
        <v>1</v>
      </c>
      <c r="G3753" s="24" t="s">
        <v>21</v>
      </c>
      <c r="H3753" s="24">
        <f>H3752+500</f>
        <v>600</v>
      </c>
      <c r="I3753" s="24">
        <f>I3752+500</f>
        <v>7500</v>
      </c>
      <c r="K3753" s="24"/>
      <c r="L3753" s="24"/>
      <c r="M3753" s="24"/>
      <c r="N3753" s="24"/>
      <c r="O3753" s="24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</row>
    <row r="3754" spans="1:28">
      <c r="D3754" s="2">
        <v>18</v>
      </c>
      <c r="E3754" s="2" t="s">
        <v>111</v>
      </c>
      <c r="F3754" s="24">
        <v>100</v>
      </c>
      <c r="G3754" s="24">
        <f>I3753+350</f>
        <v>7850</v>
      </c>
      <c r="H3754" s="24">
        <f>J3754+250</f>
        <v>950</v>
      </c>
      <c r="I3754" s="24">
        <f>G3754</f>
        <v>7850</v>
      </c>
      <c r="J3754" s="24">
        <f>H3753+100</f>
        <v>700</v>
      </c>
      <c r="K3754" s="24"/>
      <c r="L3754" s="24"/>
      <c r="O3754" s="24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</row>
    <row r="3755" spans="1:28">
      <c r="C3755" s="2"/>
      <c r="D3755">
        <v>4</v>
      </c>
      <c r="E3755" t="s">
        <v>15</v>
      </c>
      <c r="F3755" s="6">
        <v>5</v>
      </c>
      <c r="G3755" s="24"/>
      <c r="H3755" s="24"/>
      <c r="I3755" s="24"/>
      <c r="J3755" s="24"/>
      <c r="K3755" s="24"/>
      <c r="L3755" s="24"/>
      <c r="M3755" s="24"/>
      <c r="N3755" s="24"/>
      <c r="O3755" s="24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</row>
    <row r="3756" spans="1:28">
      <c r="C3756" s="2"/>
      <c r="D3756" s="2">
        <f>F3756*2+4</f>
        <v>26</v>
      </c>
      <c r="E3756" s="2" t="s">
        <v>4</v>
      </c>
      <c r="F3756" s="24">
        <v>11</v>
      </c>
      <c r="G3756" s="24">
        <f>A3745</f>
        <v>300</v>
      </c>
      <c r="H3756" s="24">
        <f>B3745</f>
        <v>3200</v>
      </c>
      <c r="I3756" s="2">
        <f>G3756</f>
        <v>300</v>
      </c>
      <c r="J3756" s="2">
        <f>H3756-(H3756-X3756)/4</f>
        <v>2575</v>
      </c>
      <c r="K3756" s="2">
        <f>G3756-(G3756-W3756)/4</f>
        <v>800</v>
      </c>
      <c r="L3756" s="2">
        <f>J3756</f>
        <v>2575</v>
      </c>
      <c r="M3756" s="2">
        <f>K3756</f>
        <v>800</v>
      </c>
      <c r="N3756" s="2">
        <f>L3756-(H3756-X3756)/4</f>
        <v>1950</v>
      </c>
      <c r="O3756" s="2">
        <f>K3756-(G3756-W3756)/4</f>
        <v>1300</v>
      </c>
      <c r="P3756" s="2">
        <f>N3756</f>
        <v>1950</v>
      </c>
      <c r="Q3756" s="2">
        <f>O3756</f>
        <v>1300</v>
      </c>
      <c r="R3756" s="2">
        <f>P3756-(H3756-X3756)/4</f>
        <v>1325</v>
      </c>
      <c r="S3756" s="2">
        <f>O3756-(G3756-W3756)/4</f>
        <v>1800</v>
      </c>
      <c r="T3756" s="2">
        <f>R3756</f>
        <v>1325</v>
      </c>
      <c r="U3756" s="2">
        <f>S3756</f>
        <v>1800</v>
      </c>
      <c r="V3756" s="2">
        <f>T3756-(H3756-X3756)/4</f>
        <v>700</v>
      </c>
      <c r="W3756" s="24">
        <f>G3756+2000</f>
        <v>2300</v>
      </c>
      <c r="X3756" s="24">
        <f>Z3756</f>
        <v>700</v>
      </c>
      <c r="Y3756" s="24">
        <f>G3756+5000</f>
        <v>5300</v>
      </c>
      <c r="Z3756" s="24">
        <f>H3756-2500</f>
        <v>700</v>
      </c>
      <c r="AA3756" s="6">
        <f>Y3756</f>
        <v>5300</v>
      </c>
      <c r="AB3756" s="6">
        <f>H3756</f>
        <v>3200</v>
      </c>
    </row>
    <row r="3757" spans="1:28">
      <c r="C3757" s="2"/>
      <c r="D3757" s="2">
        <f>F3757*2+4</f>
        <v>12</v>
      </c>
      <c r="E3757" s="2" t="s">
        <v>4</v>
      </c>
      <c r="F3757" s="24">
        <v>4</v>
      </c>
      <c r="G3757" s="24">
        <f>A3751</f>
        <v>7300</v>
      </c>
      <c r="H3757" s="24">
        <f>B3751</f>
        <v>3200</v>
      </c>
      <c r="I3757" s="24">
        <f>G3757+2000</f>
        <v>9300</v>
      </c>
      <c r="J3757" s="24">
        <f>L3757</f>
        <v>1100</v>
      </c>
      <c r="K3757" s="24">
        <f>G3757+5000</f>
        <v>12300</v>
      </c>
      <c r="L3757" s="24">
        <f>H3757-2100</f>
        <v>1100</v>
      </c>
      <c r="M3757" s="6">
        <f>K3757</f>
        <v>12300</v>
      </c>
      <c r="N3757" s="6">
        <f>H3757</f>
        <v>3200</v>
      </c>
      <c r="O3757" s="24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</row>
    <row r="3758" spans="1:28">
      <c r="A3758" s="2"/>
      <c r="B3758" s="2"/>
      <c r="C3758" s="2"/>
      <c r="D3758">
        <v>4</v>
      </c>
      <c r="E3758" t="s">
        <v>15</v>
      </c>
      <c r="F3758" s="6">
        <v>3</v>
      </c>
      <c r="G3758" s="24"/>
      <c r="H3758" s="24"/>
      <c r="I3758" s="24"/>
      <c r="J3758" s="24"/>
      <c r="K3758" s="24"/>
      <c r="L3758" s="24"/>
      <c r="M3758" s="24"/>
      <c r="N3758" s="24"/>
      <c r="O3758" s="24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</row>
    <row r="3759" spans="1:28">
      <c r="A3759" s="2"/>
      <c r="B3759" s="2"/>
      <c r="C3759" s="2"/>
      <c r="D3759" s="2">
        <f>F3759*2+4</f>
        <v>26</v>
      </c>
      <c r="E3759" s="2" t="s">
        <v>4</v>
      </c>
      <c r="F3759" s="24">
        <v>11</v>
      </c>
      <c r="G3759" s="24">
        <f>A3745</f>
        <v>300</v>
      </c>
      <c r="H3759" s="24">
        <f>B3745</f>
        <v>3200</v>
      </c>
      <c r="I3759" s="2">
        <f>G3759</f>
        <v>300</v>
      </c>
      <c r="J3759" s="2">
        <f>H3759-(H3759-X3759)/4</f>
        <v>2700</v>
      </c>
      <c r="K3759" s="2">
        <f>G3759-(G3759-W3759)/4</f>
        <v>800</v>
      </c>
      <c r="L3759" s="2">
        <f>J3759</f>
        <v>2700</v>
      </c>
      <c r="M3759" s="2">
        <f>K3759</f>
        <v>800</v>
      </c>
      <c r="N3759" s="2">
        <f>L3759-(H3759-X3759)/4</f>
        <v>2200</v>
      </c>
      <c r="O3759" s="2">
        <f>K3759-(G3759-W3759)/4</f>
        <v>1300</v>
      </c>
      <c r="P3759" s="2">
        <f>N3759</f>
        <v>2200</v>
      </c>
      <c r="Q3759" s="2">
        <f>O3759</f>
        <v>1300</v>
      </c>
      <c r="R3759" s="2">
        <f>P3759-(H3759-X3759)/4</f>
        <v>1700</v>
      </c>
      <c r="S3759" s="2">
        <f>O3759-(G3759-W3759)/4</f>
        <v>1800</v>
      </c>
      <c r="T3759" s="2">
        <f>R3759</f>
        <v>1700</v>
      </c>
      <c r="U3759" s="2">
        <f>S3759</f>
        <v>1800</v>
      </c>
      <c r="V3759" s="2">
        <f>T3759-(H3759-X3759)/4</f>
        <v>1200</v>
      </c>
      <c r="W3759" s="24">
        <f>G3759+2000</f>
        <v>2300</v>
      </c>
      <c r="X3759" s="24">
        <f>Z3759</f>
        <v>1200</v>
      </c>
      <c r="Y3759" s="24">
        <f>G3759+5000</f>
        <v>5300</v>
      </c>
      <c r="Z3759" s="24">
        <f>H3759-2000</f>
        <v>1200</v>
      </c>
      <c r="AA3759" s="6">
        <f>Y3759</f>
        <v>5300</v>
      </c>
      <c r="AB3759" s="6">
        <f>H3759</f>
        <v>3200</v>
      </c>
    </row>
    <row r="3760" spans="1:28">
      <c r="A3760" s="2"/>
      <c r="B3760" s="2"/>
      <c r="C3760" s="2"/>
      <c r="D3760" s="2">
        <f>F3760*2+4</f>
        <v>12</v>
      </c>
      <c r="E3760" s="2" t="s">
        <v>4</v>
      </c>
      <c r="F3760" s="24">
        <v>4</v>
      </c>
      <c r="G3760" s="24">
        <f>A3751</f>
        <v>7300</v>
      </c>
      <c r="H3760" s="24">
        <f>B3751</f>
        <v>3200</v>
      </c>
      <c r="I3760" s="24">
        <f>G3760+2000</f>
        <v>9300</v>
      </c>
      <c r="J3760" s="24">
        <f>L3760</f>
        <v>1200</v>
      </c>
      <c r="K3760" s="24">
        <f>G3760+5000</f>
        <v>12300</v>
      </c>
      <c r="L3760" s="24">
        <f>H3760-2000</f>
        <v>1200</v>
      </c>
      <c r="M3760" s="6">
        <f>K3760</f>
        <v>12300</v>
      </c>
      <c r="N3760" s="6">
        <f>H3760</f>
        <v>3200</v>
      </c>
      <c r="O3760" s="24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</row>
    <row r="3761" spans="1:52">
      <c r="A3761" s="2"/>
      <c r="B3761" s="2"/>
      <c r="C3761" s="2"/>
      <c r="D3761" s="2"/>
      <c r="E3761" s="2"/>
      <c r="F3761" s="24"/>
      <c r="G3761" s="2"/>
      <c r="H3761" s="2"/>
      <c r="I3761" s="2"/>
      <c r="J3761" s="2"/>
      <c r="K3761" s="24"/>
      <c r="L3761" s="24"/>
      <c r="M3761" s="2"/>
      <c r="N3761" s="2"/>
    </row>
    <row r="3762" spans="1:52">
      <c r="A3762" s="1" t="s">
        <v>2</v>
      </c>
      <c r="B3762" s="1" t="s">
        <v>3</v>
      </c>
      <c r="D3762" s="2">
        <v>18</v>
      </c>
      <c r="E3762" s="2" t="s">
        <v>111</v>
      </c>
      <c r="F3762" s="24">
        <v>250</v>
      </c>
      <c r="G3762" s="24">
        <f>A3763-100</f>
        <v>200</v>
      </c>
      <c r="H3762" s="24">
        <f>B3763</f>
        <v>3200</v>
      </c>
      <c r="I3762" s="24">
        <f>G3762+7000</f>
        <v>7200</v>
      </c>
      <c r="J3762" s="24">
        <f>H3762</f>
        <v>3200</v>
      </c>
      <c r="K3762" s="24"/>
      <c r="L3762" s="24"/>
      <c r="O3762" s="36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  <c r="AF3762" s="2"/>
      <c r="AG3762" s="2"/>
      <c r="AH3762" s="2"/>
      <c r="AI3762" s="2"/>
      <c r="AJ3762" s="2"/>
      <c r="AK3762" s="2"/>
      <c r="AL3762" s="2"/>
      <c r="AM3762" s="2"/>
      <c r="AN3762" s="2"/>
      <c r="AO3762" s="2"/>
      <c r="AP3762" s="2"/>
      <c r="AQ3762" s="2"/>
      <c r="AR3762" s="2"/>
      <c r="AS3762" s="2"/>
      <c r="AT3762" s="2"/>
      <c r="AU3762" s="2"/>
      <c r="AV3762" s="2"/>
      <c r="AW3762" s="2"/>
    </row>
    <row r="3763" spans="1:52">
      <c r="A3763" s="1">
        <v>300</v>
      </c>
      <c r="B3763" s="1">
        <v>3200</v>
      </c>
      <c r="D3763" s="2">
        <v>18</v>
      </c>
      <c r="E3763" s="2" t="s">
        <v>111</v>
      </c>
      <c r="F3763" s="24">
        <v>250</v>
      </c>
      <c r="G3763" s="24">
        <f>A3763</f>
        <v>300</v>
      </c>
      <c r="H3763" s="24">
        <f>B3763+100</f>
        <v>3300</v>
      </c>
      <c r="I3763" s="24">
        <f>G3763</f>
        <v>300</v>
      </c>
      <c r="J3763" s="24">
        <f>H3763-2700</f>
        <v>600</v>
      </c>
      <c r="K3763" s="24"/>
      <c r="L3763" s="36"/>
      <c r="M3763" s="24"/>
      <c r="N3763" s="24"/>
      <c r="O3763" s="24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  <c r="AF3763" s="2"/>
      <c r="AG3763" s="2"/>
      <c r="AH3763" s="2"/>
      <c r="AI3763" s="2"/>
      <c r="AJ3763" s="2"/>
      <c r="AK3763" s="2"/>
      <c r="AL3763" s="2"/>
      <c r="AM3763" s="2"/>
      <c r="AN3763" s="2"/>
      <c r="AO3763" s="2"/>
      <c r="AP3763" s="2"/>
      <c r="AQ3763" s="2"/>
      <c r="AR3763" s="2"/>
      <c r="AS3763" s="2"/>
      <c r="AT3763" s="2"/>
      <c r="AU3763" s="2"/>
      <c r="AV3763" s="2"/>
      <c r="AW3763" s="2"/>
    </row>
    <row r="3764" spans="1:52">
      <c r="A3764" s="2" t="s">
        <v>633</v>
      </c>
      <c r="B3764" s="2"/>
      <c r="C3764" s="2"/>
      <c r="D3764" s="2">
        <f>ROUNDUP(6+F3764/2,0)</f>
        <v>22</v>
      </c>
      <c r="E3764" s="2" t="s">
        <v>6</v>
      </c>
      <c r="F3764" s="24">
        <f>LEN(G3764)</f>
        <v>32</v>
      </c>
      <c r="G3764" s="24" t="s">
        <v>631</v>
      </c>
      <c r="H3764" s="24">
        <f>B3763-3100</f>
        <v>100</v>
      </c>
      <c r="I3764" s="24">
        <f>A3763-300</f>
        <v>0</v>
      </c>
      <c r="J3764" s="24"/>
      <c r="M3764" s="24"/>
      <c r="N3764" s="24"/>
      <c r="O3764" s="24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  <c r="AC3764" s="2"/>
      <c r="AD3764" s="2"/>
      <c r="AE3764" s="2"/>
      <c r="AF3764" s="2"/>
      <c r="AG3764" s="2"/>
      <c r="AH3764" s="2"/>
      <c r="AI3764" s="2"/>
      <c r="AJ3764" s="2"/>
      <c r="AK3764" s="2"/>
      <c r="AL3764" s="2"/>
      <c r="AM3764" s="2"/>
      <c r="AN3764" s="2"/>
      <c r="AO3764" s="2"/>
      <c r="AP3764" s="2"/>
      <c r="AQ3764" s="2"/>
      <c r="AR3764" s="2"/>
      <c r="AS3764" s="2"/>
      <c r="AT3764" s="2"/>
      <c r="AU3764" s="2"/>
      <c r="AV3764" s="2"/>
      <c r="AW3764" s="2"/>
      <c r="AX3764" s="2"/>
      <c r="AY3764" s="2"/>
      <c r="AZ3764" s="2"/>
    </row>
    <row r="3765" spans="1:52">
      <c r="D3765" s="2">
        <f>ROUNDUP(6+F3765/2,0)</f>
        <v>7</v>
      </c>
      <c r="E3765" s="2" t="s">
        <v>6</v>
      </c>
      <c r="F3765" s="24">
        <f>LEN(G3765)</f>
        <v>1</v>
      </c>
      <c r="G3765" s="24" t="s">
        <v>22</v>
      </c>
      <c r="H3765" s="24">
        <f>H3764+500</f>
        <v>600</v>
      </c>
      <c r="I3765" s="24">
        <f>I3764+500</f>
        <v>500</v>
      </c>
      <c r="J3765" s="2"/>
      <c r="K3765" s="24"/>
      <c r="L3765" s="24"/>
      <c r="M3765" s="24"/>
      <c r="N3765" s="24"/>
      <c r="O3765" s="24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  <c r="AC3765" s="2"/>
      <c r="AD3765" s="2"/>
      <c r="AE3765" s="2"/>
      <c r="AF3765" s="2"/>
      <c r="AG3765" s="2"/>
      <c r="AH3765" s="2"/>
      <c r="AI3765" s="2"/>
      <c r="AJ3765" s="2"/>
      <c r="AK3765" s="2"/>
      <c r="AL3765" s="2"/>
      <c r="AM3765" s="2"/>
      <c r="AN3765" s="2"/>
      <c r="AO3765" s="2"/>
      <c r="AP3765" s="2"/>
      <c r="AQ3765" s="2"/>
      <c r="AR3765" s="2"/>
      <c r="AS3765" s="2"/>
      <c r="AT3765" s="2"/>
      <c r="AU3765" s="2"/>
      <c r="AV3765" s="2"/>
      <c r="AW3765" s="2"/>
      <c r="AX3765" s="2"/>
      <c r="AY3765" s="2"/>
      <c r="AZ3765" s="2"/>
    </row>
    <row r="3766" spans="1:52">
      <c r="D3766" s="2">
        <v>18</v>
      </c>
      <c r="E3766" s="2" t="s">
        <v>111</v>
      </c>
      <c r="F3766" s="24">
        <v>100</v>
      </c>
      <c r="G3766" s="24">
        <f>I3765+350</f>
        <v>850</v>
      </c>
      <c r="H3766" s="24">
        <f>J3766+250</f>
        <v>950</v>
      </c>
      <c r="I3766" s="24">
        <f>G3766</f>
        <v>850</v>
      </c>
      <c r="J3766" s="24">
        <f>H3765+100</f>
        <v>700</v>
      </c>
      <c r="K3766" s="24"/>
      <c r="L3766" s="2"/>
      <c r="O3766" s="24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  <c r="AF3766" s="2"/>
      <c r="AG3766" s="2"/>
      <c r="AH3766" s="2"/>
      <c r="AI3766" s="2"/>
      <c r="AJ3766" s="2"/>
      <c r="AK3766" s="2"/>
      <c r="AL3766" s="2"/>
      <c r="AM3766" s="2"/>
      <c r="AN3766" s="2"/>
      <c r="AO3766" s="2"/>
      <c r="AP3766" s="2"/>
      <c r="AQ3766" s="2"/>
      <c r="AR3766" s="2"/>
      <c r="AS3766" s="2"/>
      <c r="AT3766" s="2"/>
      <c r="AU3766" s="2"/>
      <c r="AV3766" s="2"/>
      <c r="AW3766" s="2"/>
      <c r="AX3766" s="2"/>
      <c r="AY3766" s="2"/>
      <c r="AZ3766" s="2"/>
    </row>
    <row r="3767" spans="1:52">
      <c r="A3767" s="1" t="s">
        <v>2</v>
      </c>
      <c r="B3767" s="1" t="s">
        <v>3</v>
      </c>
      <c r="D3767" s="2">
        <v>18</v>
      </c>
      <c r="E3767" s="2" t="s">
        <v>111</v>
      </c>
      <c r="F3767" s="24">
        <v>250</v>
      </c>
      <c r="G3767" s="24">
        <f>A3768-100</f>
        <v>8200</v>
      </c>
      <c r="H3767" s="24">
        <f>B3768</f>
        <v>3200</v>
      </c>
      <c r="I3767" s="24">
        <f>G3767+6000</f>
        <v>14200</v>
      </c>
      <c r="J3767" s="24">
        <f>H3767</f>
        <v>3200</v>
      </c>
      <c r="K3767" s="24"/>
      <c r="L3767" s="24"/>
      <c r="O3767" s="24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  <c r="AF3767" s="2"/>
      <c r="AG3767" s="2"/>
      <c r="AH3767" s="2"/>
      <c r="AI3767" s="2"/>
      <c r="AJ3767" s="2"/>
      <c r="AK3767" s="2"/>
      <c r="AL3767" s="2"/>
      <c r="AM3767" s="2"/>
      <c r="AN3767" s="2"/>
      <c r="AO3767" s="2"/>
      <c r="AP3767" s="2"/>
      <c r="AQ3767" s="2"/>
      <c r="AR3767" s="2"/>
      <c r="AS3767" s="2"/>
      <c r="AT3767" s="2"/>
      <c r="AU3767" s="2"/>
      <c r="AV3767" s="2"/>
      <c r="AW3767" s="2"/>
      <c r="AX3767" s="2"/>
      <c r="AY3767" s="2"/>
      <c r="AZ3767" s="2"/>
    </row>
    <row r="3768" spans="1:52">
      <c r="A3768" s="1">
        <v>8300</v>
      </c>
      <c r="B3768" s="1">
        <v>3200</v>
      </c>
      <c r="D3768" s="2">
        <v>18</v>
      </c>
      <c r="E3768" s="2" t="s">
        <v>111</v>
      </c>
      <c r="F3768" s="24">
        <v>250</v>
      </c>
      <c r="G3768" s="24">
        <f>A3768</f>
        <v>8300</v>
      </c>
      <c r="H3768" s="24">
        <f>B3768+100</f>
        <v>3300</v>
      </c>
      <c r="I3768" s="24">
        <f>G3768</f>
        <v>8300</v>
      </c>
      <c r="J3768" s="24">
        <f>H3768-2700</f>
        <v>600</v>
      </c>
      <c r="K3768" s="24"/>
      <c r="L3768" s="36"/>
      <c r="M3768" s="24"/>
      <c r="N3768" s="24"/>
      <c r="O3768" s="24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  <c r="AC3768" s="2"/>
      <c r="AD3768" s="2"/>
      <c r="AE3768" s="2"/>
      <c r="AF3768" s="2"/>
      <c r="AG3768" s="2"/>
      <c r="AH3768" s="2"/>
      <c r="AI3768" s="2"/>
      <c r="AJ3768" s="2"/>
      <c r="AK3768" s="2"/>
      <c r="AL3768" s="2"/>
      <c r="AM3768" s="2"/>
      <c r="AN3768" s="2"/>
      <c r="AO3768" s="2"/>
      <c r="AP3768" s="2"/>
      <c r="AQ3768" s="2"/>
      <c r="AR3768" s="2"/>
      <c r="AS3768" s="2"/>
      <c r="AT3768" s="2"/>
      <c r="AU3768" s="2"/>
      <c r="AV3768" s="2"/>
      <c r="AW3768" s="2"/>
      <c r="AX3768" s="2"/>
      <c r="AY3768" s="2"/>
      <c r="AZ3768" s="2"/>
    </row>
    <row r="3769" spans="1:52">
      <c r="A3769" s="2"/>
      <c r="B3769" s="2"/>
      <c r="C3769" s="2"/>
      <c r="D3769" s="2">
        <f>ROUNDUP(6+F3769/2,0)</f>
        <v>19</v>
      </c>
      <c r="E3769" s="2" t="s">
        <v>6</v>
      </c>
      <c r="F3769" s="24">
        <f>LEN(G3769)</f>
        <v>25</v>
      </c>
      <c r="G3769" s="24" t="s">
        <v>632</v>
      </c>
      <c r="H3769" s="24">
        <f>B3768-3100</f>
        <v>100</v>
      </c>
      <c r="I3769" s="24">
        <f>A3768-300</f>
        <v>8000</v>
      </c>
      <c r="J3769" s="24"/>
      <c r="M3769" s="24"/>
      <c r="N3769" s="24"/>
      <c r="O3769" s="24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  <c r="AC3769" s="2"/>
      <c r="AD3769" s="2"/>
      <c r="AE3769" s="2"/>
      <c r="AF3769" s="2"/>
      <c r="AG3769" s="2"/>
      <c r="AH3769" s="2"/>
      <c r="AI3769" s="2"/>
      <c r="AJ3769" s="2"/>
      <c r="AK3769" s="2"/>
      <c r="AL3769" s="2"/>
      <c r="AM3769" s="2"/>
      <c r="AN3769" s="2"/>
      <c r="AO3769" s="2"/>
      <c r="AP3769" s="2"/>
      <c r="AQ3769" s="2"/>
      <c r="AR3769" s="2"/>
      <c r="AS3769" s="2"/>
      <c r="AT3769" s="2"/>
      <c r="AU3769" s="2"/>
      <c r="AV3769" s="2"/>
      <c r="AW3769" s="2"/>
      <c r="AX3769" s="2"/>
      <c r="AY3769" s="2"/>
      <c r="AZ3769" s="2"/>
    </row>
    <row r="3770" spans="1:52">
      <c r="D3770" s="2">
        <f>ROUNDUP(6+F3770/2,0)</f>
        <v>8</v>
      </c>
      <c r="E3770" s="2" t="s">
        <v>6</v>
      </c>
      <c r="F3770" s="24">
        <f>LEN(G3770)</f>
        <v>3</v>
      </c>
      <c r="G3770" s="24" t="s">
        <v>242</v>
      </c>
      <c r="H3770" s="24">
        <f>H3769+500</f>
        <v>600</v>
      </c>
      <c r="I3770" s="24">
        <f>I3769+500</f>
        <v>8500</v>
      </c>
      <c r="K3770" s="24"/>
      <c r="L3770" s="24"/>
      <c r="M3770" s="24"/>
      <c r="N3770" s="24"/>
      <c r="O3770" s="24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  <c r="AF3770" s="2"/>
      <c r="AG3770" s="2"/>
      <c r="AH3770" s="2"/>
      <c r="AI3770" s="2"/>
      <c r="AJ3770" s="2"/>
      <c r="AK3770" s="2"/>
      <c r="AL3770" s="2"/>
      <c r="AM3770" s="2"/>
      <c r="AN3770" s="2"/>
      <c r="AO3770" s="2"/>
      <c r="AP3770" s="2"/>
      <c r="AQ3770" s="2"/>
      <c r="AR3770" s="2"/>
      <c r="AS3770" s="2"/>
      <c r="AT3770" s="2"/>
      <c r="AU3770" s="2"/>
      <c r="AV3770" s="2"/>
      <c r="AW3770" s="2"/>
      <c r="AX3770" s="2"/>
      <c r="AY3770" s="2"/>
      <c r="AZ3770" s="2"/>
    </row>
    <row r="3771" spans="1:52">
      <c r="D3771" s="2">
        <v>18</v>
      </c>
      <c r="E3771" s="2" t="s">
        <v>111</v>
      </c>
      <c r="F3771" s="24">
        <v>100</v>
      </c>
      <c r="G3771" s="24">
        <f>I3770+750</f>
        <v>9250</v>
      </c>
      <c r="H3771" s="24">
        <f>J3771+250</f>
        <v>950</v>
      </c>
      <c r="I3771" s="24">
        <f>G3771</f>
        <v>9250</v>
      </c>
      <c r="J3771" s="24">
        <f>H3770+100</f>
        <v>700</v>
      </c>
      <c r="K3771" s="24"/>
      <c r="L3771" s="24"/>
      <c r="O3771" s="24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  <c r="AF3771" s="2"/>
      <c r="AG3771" s="2"/>
      <c r="AH3771" s="2"/>
      <c r="AI3771" s="2"/>
      <c r="AJ3771" s="2"/>
      <c r="AK3771" s="2"/>
      <c r="AL3771" s="2"/>
      <c r="AM3771" s="2"/>
      <c r="AN3771" s="2"/>
      <c r="AO3771" s="2"/>
      <c r="AP3771" s="2"/>
      <c r="AQ3771" s="2"/>
      <c r="AR3771" s="2"/>
      <c r="AS3771" s="2"/>
      <c r="AT3771" s="2"/>
      <c r="AU3771" s="2"/>
      <c r="AV3771" s="2"/>
      <c r="AW3771" s="2"/>
      <c r="AX3771" s="2"/>
      <c r="AY3771" s="2"/>
      <c r="AZ3771" s="2"/>
    </row>
    <row r="3772" spans="1:52">
      <c r="C3772" s="2"/>
      <c r="D3772">
        <v>4</v>
      </c>
      <c r="E3772" t="s">
        <v>15</v>
      </c>
      <c r="F3772" s="6">
        <v>4</v>
      </c>
      <c r="G3772" s="24"/>
      <c r="H3772" s="24"/>
      <c r="I3772" s="24"/>
      <c r="J3772" s="24"/>
      <c r="K3772" s="24"/>
      <c r="L3772" s="24"/>
      <c r="M3772" s="24"/>
      <c r="N3772" s="24"/>
      <c r="O3772" s="24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  <c r="AC3772" s="2"/>
      <c r="AD3772" s="2"/>
      <c r="AE3772" s="2"/>
      <c r="AF3772" s="2"/>
      <c r="AG3772" s="2"/>
      <c r="AH3772" s="2"/>
      <c r="AI3772" s="2"/>
      <c r="AJ3772" s="2"/>
      <c r="AK3772" s="2"/>
      <c r="AL3772" s="2"/>
      <c r="AM3772" s="2"/>
      <c r="AN3772" s="2"/>
      <c r="AO3772" s="2"/>
      <c r="AP3772" s="2"/>
      <c r="AQ3772" s="2"/>
      <c r="AR3772" s="2"/>
      <c r="AS3772" s="2"/>
      <c r="AT3772" s="2"/>
      <c r="AU3772" s="2"/>
      <c r="AV3772" s="2"/>
      <c r="AW3772" s="2"/>
      <c r="AX3772" s="2"/>
      <c r="AY3772" s="2"/>
      <c r="AZ3772" s="2"/>
    </row>
    <row r="3773" spans="1:52">
      <c r="B3773">
        <v>200</v>
      </c>
      <c r="C3773" s="2">
        <v>500</v>
      </c>
      <c r="D3773" s="2">
        <f>F3773*2+4</f>
        <v>48</v>
      </c>
      <c r="E3773" s="2" t="s">
        <v>4</v>
      </c>
      <c r="F3773" s="24">
        <f>COUNT(G3773:DD3773)/2</f>
        <v>22</v>
      </c>
      <c r="G3773" s="24">
        <f>A3763</f>
        <v>300</v>
      </c>
      <c r="H3773" s="24">
        <f>B3763</f>
        <v>3200</v>
      </c>
      <c r="I3773" s="2">
        <f>G3773</f>
        <v>300</v>
      </c>
      <c r="J3773" s="2">
        <f>H3773-B3773</f>
        <v>3000</v>
      </c>
      <c r="K3773" s="2">
        <f>G3773+C3773</f>
        <v>800</v>
      </c>
      <c r="L3773" s="2">
        <f>J3773</f>
        <v>3000</v>
      </c>
      <c r="M3773" s="2">
        <f>K3773</f>
        <v>800</v>
      </c>
      <c r="N3773" s="2">
        <f>L3773-B3773</f>
        <v>2800</v>
      </c>
      <c r="O3773" s="2">
        <f>K3773+C3773</f>
        <v>1300</v>
      </c>
      <c r="P3773" s="2">
        <f>N3773</f>
        <v>2800</v>
      </c>
      <c r="Q3773" s="2">
        <f>O3773</f>
        <v>1300</v>
      </c>
      <c r="R3773" s="2">
        <f>P3773-B3773</f>
        <v>2600</v>
      </c>
      <c r="S3773" s="2">
        <f>O3773+C3773</f>
        <v>1800</v>
      </c>
      <c r="T3773" s="2">
        <f>R3773</f>
        <v>2600</v>
      </c>
      <c r="U3773" s="2">
        <f>S3773</f>
        <v>1800</v>
      </c>
      <c r="V3773" s="2">
        <f>T3773-B3773</f>
        <v>2400</v>
      </c>
      <c r="W3773" s="2">
        <f>S3773+C3773</f>
        <v>2300</v>
      </c>
      <c r="X3773" s="2">
        <f>V3773</f>
        <v>2400</v>
      </c>
      <c r="Y3773" s="2">
        <f>W3773</f>
        <v>2300</v>
      </c>
      <c r="Z3773" s="2">
        <f>X3773-B3773</f>
        <v>2200</v>
      </c>
      <c r="AA3773" s="2">
        <f>W3773+C3773</f>
        <v>2800</v>
      </c>
      <c r="AB3773" s="2">
        <f>Z3773</f>
        <v>2200</v>
      </c>
      <c r="AC3773" s="2">
        <f>AA3773</f>
        <v>2800</v>
      </c>
      <c r="AD3773" s="2">
        <f>AB3773-B3773</f>
        <v>2000</v>
      </c>
      <c r="AE3773" s="2">
        <f>AA3773+C3773</f>
        <v>3300</v>
      </c>
      <c r="AF3773" s="2">
        <f>AD3773</f>
        <v>2000</v>
      </c>
      <c r="AG3773" s="2">
        <f>AE3773</f>
        <v>3300</v>
      </c>
      <c r="AH3773" s="2">
        <f>AF3773-B3773</f>
        <v>1800</v>
      </c>
      <c r="AI3773" s="2">
        <f>AE3773+C3773</f>
        <v>3800</v>
      </c>
      <c r="AJ3773" s="2">
        <f>AH3773</f>
        <v>1800</v>
      </c>
      <c r="AK3773" s="2">
        <f>AI3773</f>
        <v>3800</v>
      </c>
      <c r="AL3773" s="2">
        <f>AJ3773-B3773</f>
        <v>1600</v>
      </c>
      <c r="AM3773" s="2">
        <f>AI3773+C3773</f>
        <v>4300</v>
      </c>
      <c r="AN3773" s="2">
        <f>AL3773</f>
        <v>1600</v>
      </c>
      <c r="AO3773" s="2">
        <f>AM3773</f>
        <v>4300</v>
      </c>
      <c r="AP3773" s="2">
        <f>AN3773-B3773</f>
        <v>1400</v>
      </c>
      <c r="AQ3773" s="2">
        <f>AM3773+C3773</f>
        <v>4800</v>
      </c>
      <c r="AR3773" s="2">
        <f>AP3773</f>
        <v>1400</v>
      </c>
      <c r="AS3773" s="2">
        <f>AQ3773</f>
        <v>4800</v>
      </c>
      <c r="AT3773" s="2">
        <f>AR3773-B3773</f>
        <v>1200</v>
      </c>
      <c r="AU3773" s="2">
        <f>AQ3773+C3773</f>
        <v>5300</v>
      </c>
      <c r="AV3773" s="2">
        <f>AT3773</f>
        <v>1200</v>
      </c>
      <c r="AW3773" s="2">
        <f>AU3773</f>
        <v>5300</v>
      </c>
      <c r="AX3773" s="2">
        <f>AV3773+2000</f>
        <v>3200</v>
      </c>
      <c r="AY3773" s="2"/>
      <c r="AZ3773" s="2"/>
    </row>
    <row r="3774" spans="1:52">
      <c r="C3774" s="2"/>
      <c r="D3774">
        <v>4</v>
      </c>
      <c r="E3774" t="s">
        <v>15</v>
      </c>
      <c r="F3774" s="6">
        <v>5</v>
      </c>
      <c r="G3774" s="24"/>
      <c r="H3774" s="24"/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  <c r="AI3774" s="2"/>
      <c r="AJ3774" s="2"/>
      <c r="AK3774" s="2"/>
      <c r="AL3774" s="2"/>
      <c r="AM3774" s="2"/>
      <c r="AN3774" s="2"/>
      <c r="AO3774" s="2"/>
      <c r="AP3774" s="2"/>
      <c r="AQ3774" s="2"/>
      <c r="AR3774" s="2"/>
      <c r="AS3774" s="2"/>
      <c r="AT3774" s="2"/>
      <c r="AU3774" s="2"/>
      <c r="AV3774" s="2"/>
      <c r="AW3774" s="2"/>
      <c r="AX3774" s="2"/>
      <c r="AY3774" s="2"/>
      <c r="AZ3774" s="2"/>
    </row>
    <row r="3775" spans="1:52">
      <c r="C3775" s="2"/>
      <c r="D3775" s="2">
        <f>F3775*2+4</f>
        <v>12</v>
      </c>
      <c r="E3775" s="2" t="s">
        <v>4</v>
      </c>
      <c r="F3775" s="24">
        <v>4</v>
      </c>
      <c r="G3775" s="24">
        <f>A3768</f>
        <v>8300</v>
      </c>
      <c r="H3775" s="24">
        <f>B3768</f>
        <v>3200</v>
      </c>
      <c r="I3775" s="24">
        <f>G3775+2000</f>
        <v>10300</v>
      </c>
      <c r="J3775" s="24">
        <f>L3775</f>
        <v>700</v>
      </c>
      <c r="K3775" s="24">
        <f>G3775+5000</f>
        <v>13300</v>
      </c>
      <c r="L3775" s="24">
        <f>H3775-2500</f>
        <v>700</v>
      </c>
      <c r="M3775" s="6">
        <f>K3775</f>
        <v>13300</v>
      </c>
      <c r="N3775" s="6">
        <f>H3775</f>
        <v>3200</v>
      </c>
      <c r="O3775" s="24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  <c r="AI3775" s="2"/>
      <c r="AJ3775" s="2"/>
      <c r="AK3775" s="2"/>
      <c r="AL3775" s="2"/>
      <c r="AM3775" s="2"/>
      <c r="AN3775" s="2"/>
      <c r="AO3775" s="2"/>
      <c r="AP3775" s="2"/>
      <c r="AQ3775" s="2"/>
      <c r="AR3775" s="2"/>
      <c r="AS3775" s="2"/>
      <c r="AT3775" s="2"/>
      <c r="AU3775" s="2"/>
      <c r="AV3775" s="2"/>
      <c r="AW3775" s="2"/>
      <c r="AX3775" s="2"/>
      <c r="AY3775" s="2"/>
      <c r="AZ3775" s="2"/>
    </row>
    <row r="3776" spans="1:52">
      <c r="C3776" s="2"/>
      <c r="D3776" s="2">
        <f>F3776*2+4</f>
        <v>16</v>
      </c>
      <c r="E3776" s="2" t="s">
        <v>4</v>
      </c>
      <c r="F3776" s="24">
        <f>COUNT(G3776:DD3776)/2</f>
        <v>6</v>
      </c>
      <c r="G3776" s="2">
        <f>AI3778+C3778</f>
        <v>5300</v>
      </c>
      <c r="H3776" s="2">
        <v>3200</v>
      </c>
      <c r="I3776" s="2">
        <f>G3776</f>
        <v>5300</v>
      </c>
      <c r="J3776" s="2">
        <v>1400</v>
      </c>
      <c r="K3776" s="2">
        <f>G3776+C3778</f>
        <v>5925</v>
      </c>
      <c r="L3776" s="2">
        <f>J3776</f>
        <v>1400</v>
      </c>
      <c r="M3776" s="2">
        <f>K3776</f>
        <v>5925</v>
      </c>
      <c r="N3776" s="2">
        <f>L3776-B3778</f>
        <v>1200</v>
      </c>
      <c r="O3776" s="2">
        <f>K3776+C3778</f>
        <v>6550</v>
      </c>
      <c r="P3776" s="2">
        <f>N3776</f>
        <v>1200</v>
      </c>
      <c r="Q3776" s="2">
        <f>O3776</f>
        <v>6550</v>
      </c>
      <c r="R3776" s="2">
        <f>P3776+2000</f>
        <v>3200</v>
      </c>
      <c r="S3776" s="2"/>
      <c r="T3776" s="2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  <c r="AI3776" s="2"/>
      <c r="AJ3776" s="2"/>
      <c r="AK3776" s="2"/>
      <c r="AL3776" s="2"/>
      <c r="AM3776" s="2"/>
      <c r="AN3776" s="2"/>
      <c r="AO3776" s="2"/>
      <c r="AP3776" s="2"/>
      <c r="AQ3776" s="2"/>
      <c r="AR3776" s="2"/>
      <c r="AS3776" s="2"/>
      <c r="AT3776" s="2"/>
      <c r="AU3776" s="2"/>
      <c r="AV3776" s="2"/>
      <c r="AW3776" s="2"/>
      <c r="AX3776" s="2"/>
      <c r="AY3776" s="2"/>
      <c r="AZ3776" s="2"/>
    </row>
    <row r="3777" spans="1:52">
      <c r="A3777" s="2"/>
      <c r="B3777" s="2"/>
      <c r="C3777" s="2"/>
      <c r="D3777">
        <v>4</v>
      </c>
      <c r="E3777" t="s">
        <v>15</v>
      </c>
      <c r="F3777" s="6">
        <v>3</v>
      </c>
      <c r="G3777" s="24"/>
      <c r="H3777" s="24"/>
      <c r="I3777" s="24"/>
      <c r="J3777" s="24"/>
      <c r="K3777" s="24"/>
      <c r="L3777" s="24"/>
      <c r="M3777" s="24"/>
      <c r="N3777" s="24"/>
      <c r="O3777" s="24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  <c r="AF3777" s="2"/>
      <c r="AG3777" s="2"/>
      <c r="AH3777" s="2"/>
      <c r="AI3777" s="2"/>
      <c r="AJ3777" s="2"/>
      <c r="AK3777" s="2"/>
      <c r="AL3777" s="2"/>
      <c r="AM3777" s="2"/>
      <c r="AN3777" s="2"/>
      <c r="AO3777" s="2"/>
      <c r="AP3777" s="2"/>
      <c r="AQ3777" s="2"/>
      <c r="AR3777" s="2"/>
      <c r="AS3777" s="2"/>
      <c r="AT3777" s="2"/>
      <c r="AU3777" s="2"/>
      <c r="AV3777" s="2"/>
      <c r="AW3777" s="2"/>
      <c r="AX3777" s="2"/>
      <c r="AY3777" s="2"/>
      <c r="AZ3777" s="2"/>
    </row>
    <row r="3778" spans="1:52">
      <c r="B3778">
        <v>200</v>
      </c>
      <c r="C3778" s="2">
        <v>625</v>
      </c>
      <c r="D3778" s="2">
        <f>F3778*2+4</f>
        <v>40</v>
      </c>
      <c r="E3778" s="2" t="s">
        <v>4</v>
      </c>
      <c r="F3778" s="24">
        <f>COUNT(G3778:DD3778)/2</f>
        <v>18</v>
      </c>
      <c r="G3778" s="24">
        <f>A3763</f>
        <v>300</v>
      </c>
      <c r="H3778" s="24">
        <f>B3763</f>
        <v>3200</v>
      </c>
      <c r="I3778" s="2">
        <f>G3778</f>
        <v>300</v>
      </c>
      <c r="J3778" s="2">
        <f>H3778-B3778</f>
        <v>3000</v>
      </c>
      <c r="K3778" s="2">
        <f>G3778+C3778</f>
        <v>925</v>
      </c>
      <c r="L3778" s="2">
        <f>J3778</f>
        <v>3000</v>
      </c>
      <c r="M3778" s="2">
        <f>K3778</f>
        <v>925</v>
      </c>
      <c r="N3778" s="2">
        <f>L3778-B3778</f>
        <v>2800</v>
      </c>
      <c r="O3778" s="2">
        <f>K3778+C3778</f>
        <v>1550</v>
      </c>
      <c r="P3778" s="2">
        <f>N3778</f>
        <v>2800</v>
      </c>
      <c r="Q3778" s="2">
        <f>O3778</f>
        <v>1550</v>
      </c>
      <c r="R3778" s="2">
        <f>P3778-B3778</f>
        <v>2600</v>
      </c>
      <c r="S3778" s="2">
        <f>O3778+C3778</f>
        <v>2175</v>
      </c>
      <c r="T3778" s="2">
        <f>R3778</f>
        <v>2600</v>
      </c>
      <c r="U3778" s="2">
        <f>S3778</f>
        <v>2175</v>
      </c>
      <c r="V3778" s="2">
        <f>T3778-B3778</f>
        <v>2400</v>
      </c>
      <c r="W3778" s="2">
        <f>S3778+C3778</f>
        <v>2800</v>
      </c>
      <c r="X3778" s="2">
        <f>V3778</f>
        <v>2400</v>
      </c>
      <c r="Y3778" s="2">
        <f>W3778</f>
        <v>2800</v>
      </c>
      <c r="Z3778" s="2">
        <f>X3778-B3778</f>
        <v>2200</v>
      </c>
      <c r="AA3778" s="2">
        <f>W3778+C3778</f>
        <v>3425</v>
      </c>
      <c r="AB3778" s="2">
        <f>Z3778</f>
        <v>2200</v>
      </c>
      <c r="AC3778" s="2">
        <f>AA3778</f>
        <v>3425</v>
      </c>
      <c r="AD3778" s="2">
        <f>AB3778-B3778</f>
        <v>2000</v>
      </c>
      <c r="AE3778" s="2">
        <f>AA3778+C3778</f>
        <v>4050</v>
      </c>
      <c r="AF3778" s="2">
        <f>AD3778</f>
        <v>2000</v>
      </c>
      <c r="AG3778" s="2">
        <f>AE3778</f>
        <v>4050</v>
      </c>
      <c r="AH3778" s="2">
        <f>AF3778-B3778</f>
        <v>1800</v>
      </c>
      <c r="AI3778" s="2">
        <f>AE3778+C3778</f>
        <v>4675</v>
      </c>
      <c r="AJ3778" s="2">
        <f>AH3778</f>
        <v>1800</v>
      </c>
      <c r="AK3778" s="2">
        <f>AI3778</f>
        <v>4675</v>
      </c>
      <c r="AL3778" s="2">
        <f>AJ3778-B3778</f>
        <v>1600</v>
      </c>
      <c r="AM3778" s="2">
        <f>AI3778+C3778</f>
        <v>5300</v>
      </c>
      <c r="AN3778" s="2">
        <f>AL3778</f>
        <v>1600</v>
      </c>
      <c r="AO3778" s="2">
        <f>AM3778</f>
        <v>5300</v>
      </c>
      <c r="AP3778" s="2">
        <f>H3778</f>
        <v>3200</v>
      </c>
      <c r="AQ3778" s="2"/>
      <c r="AR3778" s="2"/>
      <c r="AS3778" s="2"/>
      <c r="AT3778" s="2"/>
      <c r="AU3778" s="2"/>
      <c r="AV3778" s="2"/>
      <c r="AW3778" s="2"/>
      <c r="AX3778" s="2"/>
      <c r="AY3778" s="2"/>
      <c r="AZ3778" s="2"/>
    </row>
    <row r="3779" spans="1:52">
      <c r="A3779" s="2"/>
      <c r="B3779" s="2"/>
      <c r="C3779" s="2"/>
      <c r="D3779" s="2">
        <f>F3779*2+4</f>
        <v>12</v>
      </c>
      <c r="E3779" s="2" t="s">
        <v>4</v>
      </c>
      <c r="F3779" s="24">
        <v>4</v>
      </c>
      <c r="G3779" s="24">
        <f>A3768</f>
        <v>8300</v>
      </c>
      <c r="H3779" s="24">
        <f>B3768</f>
        <v>3200</v>
      </c>
      <c r="I3779" s="24">
        <f>G3779+2000</f>
        <v>10300</v>
      </c>
      <c r="J3779" s="24">
        <f>L3779</f>
        <v>1200</v>
      </c>
      <c r="K3779" s="24">
        <f>G3779+5000</f>
        <v>13300</v>
      </c>
      <c r="L3779" s="24">
        <f>H3779-2000</f>
        <v>1200</v>
      </c>
      <c r="M3779" s="6">
        <f>K3779</f>
        <v>13300</v>
      </c>
      <c r="N3779" s="6">
        <f>H3779</f>
        <v>3200</v>
      </c>
      <c r="O3779" s="24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  <c r="AI3779" s="2"/>
      <c r="AJ3779" s="2"/>
      <c r="AK3779" s="2"/>
      <c r="AL3779" s="2"/>
      <c r="AM3779" s="2"/>
      <c r="AN3779" s="2"/>
      <c r="AO3779" s="2"/>
      <c r="AP3779" s="2"/>
      <c r="AQ3779" s="2"/>
      <c r="AR3779" s="2"/>
      <c r="AS3779" s="2"/>
      <c r="AT3779" s="2"/>
      <c r="AU3779" s="2"/>
      <c r="AV3779" s="2"/>
      <c r="AW3779" s="2"/>
      <c r="AX3779" s="2"/>
      <c r="AY3779" s="2"/>
      <c r="AZ3779" s="2"/>
    </row>
    <row r="3780" spans="1:52">
      <c r="A3780" s="2"/>
      <c r="B3780" s="2"/>
      <c r="C3780" s="2"/>
      <c r="D3780" s="2"/>
      <c r="E3780" s="2"/>
      <c r="F3780" s="24"/>
      <c r="G3780" s="24"/>
      <c r="H3780" s="24"/>
      <c r="I3780" s="24"/>
      <c r="J3780" s="24"/>
      <c r="K3780" s="24"/>
      <c r="L3780" s="24"/>
      <c r="O3780" s="24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  <c r="AI3780" s="2"/>
      <c r="AJ3780" s="2"/>
      <c r="AK3780" s="2"/>
      <c r="AL3780" s="2"/>
      <c r="AM3780" s="2"/>
      <c r="AN3780" s="2"/>
      <c r="AO3780" s="2"/>
      <c r="AP3780" s="2"/>
      <c r="AQ3780" s="2"/>
      <c r="AR3780" s="2"/>
      <c r="AS3780" s="2"/>
      <c r="AT3780" s="2"/>
      <c r="AU3780" s="2"/>
      <c r="AV3780" s="2"/>
      <c r="AW3780" s="2"/>
      <c r="AX3780" s="2"/>
      <c r="AY3780" s="2"/>
      <c r="AZ3780" s="2"/>
    </row>
    <row r="3781" spans="1:52">
      <c r="A3781" s="1" t="s">
        <v>2</v>
      </c>
      <c r="B3781" s="1" t="s">
        <v>3</v>
      </c>
      <c r="D3781" s="2">
        <v>18</v>
      </c>
      <c r="E3781" s="2" t="s">
        <v>111</v>
      </c>
      <c r="F3781" s="24">
        <v>250</v>
      </c>
      <c r="G3781" s="24">
        <f>A3782-100</f>
        <v>200</v>
      </c>
      <c r="H3781" s="24">
        <f>B3782</f>
        <v>3200</v>
      </c>
      <c r="I3781" s="24">
        <f>G3781+6000</f>
        <v>6200</v>
      </c>
      <c r="J3781" s="24">
        <f>H3781</f>
        <v>3200</v>
      </c>
      <c r="K3781" s="24"/>
      <c r="L3781" s="24"/>
      <c r="O3781" s="24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  <c r="AF3781" s="2"/>
      <c r="AG3781" s="2"/>
      <c r="AH3781" s="2"/>
      <c r="AI3781" s="2"/>
      <c r="AJ3781" s="2"/>
      <c r="AK3781" s="2"/>
      <c r="AL3781" s="2"/>
      <c r="AM3781" s="2"/>
      <c r="AN3781" s="2"/>
      <c r="AO3781" s="2"/>
      <c r="AP3781" s="2"/>
      <c r="AQ3781" s="2"/>
      <c r="AR3781" s="2"/>
      <c r="AS3781" s="2"/>
      <c r="AT3781" s="2"/>
      <c r="AU3781" s="2"/>
      <c r="AV3781" s="2"/>
      <c r="AW3781" s="2"/>
      <c r="AX3781" s="2"/>
      <c r="AY3781" s="2"/>
      <c r="AZ3781" s="2"/>
    </row>
    <row r="3782" spans="1:52">
      <c r="A3782" s="1">
        <v>300</v>
      </c>
      <c r="B3782" s="1">
        <v>3200</v>
      </c>
      <c r="D3782" s="2">
        <v>18</v>
      </c>
      <c r="E3782" s="2" t="s">
        <v>111</v>
      </c>
      <c r="F3782" s="24">
        <v>250</v>
      </c>
      <c r="G3782" s="24">
        <f>A3782</f>
        <v>300</v>
      </c>
      <c r="H3782" s="24">
        <f>B3782+100</f>
        <v>3300</v>
      </c>
      <c r="I3782" s="24">
        <f>G3782</f>
        <v>300</v>
      </c>
      <c r="J3782" s="24">
        <f>H3782-2700</f>
        <v>600</v>
      </c>
      <c r="K3782" s="24"/>
      <c r="L3782" s="36"/>
      <c r="M3782" s="24"/>
      <c r="N3782" s="24"/>
      <c r="O3782" s="24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  <c r="AF3782" s="2"/>
      <c r="AG3782" s="2"/>
      <c r="AH3782" s="2"/>
      <c r="AI3782" s="2"/>
      <c r="AJ3782" s="2"/>
      <c r="AK3782" s="2"/>
      <c r="AL3782" s="2"/>
      <c r="AM3782" s="2"/>
      <c r="AN3782" s="2"/>
      <c r="AO3782" s="2"/>
      <c r="AP3782" s="2"/>
      <c r="AQ3782" s="2"/>
      <c r="AR3782" s="2"/>
      <c r="AS3782" s="2"/>
      <c r="AT3782" s="2"/>
      <c r="AU3782" s="2"/>
      <c r="AV3782" s="2"/>
      <c r="AW3782" s="2"/>
      <c r="AX3782" s="2"/>
      <c r="AY3782" s="2"/>
      <c r="AZ3782" s="2"/>
    </row>
    <row r="3783" spans="1:52">
      <c r="A3783" s="2" t="s">
        <v>625</v>
      </c>
      <c r="B3783" s="2"/>
      <c r="C3783" s="2"/>
      <c r="D3783" s="2">
        <f>ROUNDUP(6+F3783/2,0)</f>
        <v>22</v>
      </c>
      <c r="E3783" s="2" t="s">
        <v>6</v>
      </c>
      <c r="F3783" s="24">
        <f>LEN(G3783)</f>
        <v>32</v>
      </c>
      <c r="G3783" s="24" t="s">
        <v>631</v>
      </c>
      <c r="H3783" s="24">
        <f>B3782-3100</f>
        <v>100</v>
      </c>
      <c r="I3783" s="24">
        <f>A3782-300</f>
        <v>0</v>
      </c>
      <c r="J3783" s="2"/>
      <c r="M3783" s="24"/>
      <c r="N3783" s="24"/>
      <c r="O3783" s="24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  <c r="AC3783" s="2"/>
      <c r="AD3783" s="2"/>
      <c r="AE3783" s="2"/>
      <c r="AF3783" s="2"/>
      <c r="AG3783" s="2"/>
      <c r="AH3783" s="2"/>
      <c r="AI3783" s="2"/>
      <c r="AJ3783" s="2"/>
      <c r="AK3783" s="2"/>
      <c r="AL3783" s="2"/>
      <c r="AM3783" s="2"/>
      <c r="AN3783" s="2"/>
      <c r="AO3783" s="2"/>
      <c r="AP3783" s="2"/>
      <c r="AQ3783" s="2"/>
      <c r="AR3783" s="2"/>
      <c r="AS3783" s="2"/>
      <c r="AT3783" s="2"/>
      <c r="AU3783" s="2"/>
      <c r="AV3783" s="2"/>
      <c r="AW3783" s="2"/>
      <c r="AX3783" s="2"/>
      <c r="AY3783" s="2"/>
      <c r="AZ3783" s="2"/>
    </row>
    <row r="3784" spans="1:52">
      <c r="D3784" s="2">
        <f>ROUNDUP(6+F3784/2,0)</f>
        <v>9</v>
      </c>
      <c r="E3784" s="2" t="s">
        <v>6</v>
      </c>
      <c r="F3784" s="24">
        <f>LEN(G3784)</f>
        <v>5</v>
      </c>
      <c r="G3784" s="24" t="s">
        <v>482</v>
      </c>
      <c r="H3784" s="24">
        <f>H3783+500</f>
        <v>600</v>
      </c>
      <c r="I3784" s="24">
        <f>I3783+500</f>
        <v>500</v>
      </c>
      <c r="J3784" s="2"/>
      <c r="K3784" s="24"/>
      <c r="L3784" s="24"/>
      <c r="M3784" s="24"/>
      <c r="N3784" s="24"/>
      <c r="O3784" s="24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  <c r="AC3784" s="2"/>
      <c r="AD3784" s="2"/>
      <c r="AE3784" s="2"/>
      <c r="AF3784" s="2"/>
      <c r="AG3784" s="2"/>
      <c r="AH3784" s="2"/>
      <c r="AI3784" s="2"/>
      <c r="AJ3784" s="2"/>
      <c r="AK3784" s="2"/>
      <c r="AL3784" s="2"/>
      <c r="AM3784" s="2"/>
      <c r="AN3784" s="2"/>
      <c r="AO3784" s="2"/>
      <c r="AP3784" s="2"/>
      <c r="AQ3784" s="2"/>
      <c r="AR3784" s="2"/>
      <c r="AS3784" s="2"/>
      <c r="AT3784" s="2"/>
      <c r="AU3784" s="2"/>
      <c r="AV3784" s="2"/>
      <c r="AW3784" s="2"/>
      <c r="AX3784" s="2"/>
      <c r="AY3784" s="2"/>
      <c r="AZ3784" s="2"/>
    </row>
    <row r="3785" spans="1:52">
      <c r="D3785" s="2">
        <v>18</v>
      </c>
      <c r="E3785" s="2" t="s">
        <v>111</v>
      </c>
      <c r="F3785" s="24">
        <v>100</v>
      </c>
      <c r="G3785" s="24">
        <f>I3784+350</f>
        <v>850</v>
      </c>
      <c r="H3785" s="24">
        <f>H3784+100</f>
        <v>700</v>
      </c>
      <c r="I3785" s="24">
        <f>G3785</f>
        <v>850</v>
      </c>
      <c r="J3785" s="24">
        <f>H3785+250</f>
        <v>950</v>
      </c>
      <c r="K3785" s="24"/>
      <c r="L3785" s="2"/>
      <c r="O3785" s="24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  <c r="AC3785" s="2"/>
      <c r="AD3785" s="2"/>
      <c r="AE3785" s="2"/>
      <c r="AF3785" s="2"/>
      <c r="AG3785" s="2"/>
      <c r="AH3785" s="2"/>
      <c r="AI3785" s="2"/>
      <c r="AJ3785" s="2"/>
      <c r="AK3785" s="2"/>
      <c r="AL3785" s="2"/>
      <c r="AM3785" s="2"/>
      <c r="AN3785" s="2"/>
      <c r="AO3785" s="2"/>
      <c r="AP3785" s="2"/>
      <c r="AQ3785" s="2"/>
      <c r="AR3785" s="2"/>
      <c r="AS3785" s="2"/>
      <c r="AT3785" s="2"/>
      <c r="AU3785" s="2"/>
      <c r="AV3785" s="2"/>
      <c r="AW3785" s="2"/>
      <c r="AX3785" s="2"/>
      <c r="AY3785" s="2"/>
      <c r="AZ3785" s="2"/>
    </row>
    <row r="3786" spans="1:52">
      <c r="D3786" s="2">
        <v>18</v>
      </c>
      <c r="E3786" s="2" t="s">
        <v>111</v>
      </c>
      <c r="F3786" s="24">
        <v>100</v>
      </c>
      <c r="G3786" s="24">
        <f>G3785+400</f>
        <v>1250</v>
      </c>
      <c r="H3786" s="24">
        <f>H3785</f>
        <v>700</v>
      </c>
      <c r="I3786" s="24">
        <f>G3786</f>
        <v>1250</v>
      </c>
      <c r="J3786" s="24">
        <f>J3785</f>
        <v>950</v>
      </c>
      <c r="K3786" s="24"/>
      <c r="L3786" s="2"/>
      <c r="O3786" s="24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  <c r="AC3786" s="2"/>
      <c r="AD3786" s="2"/>
      <c r="AE3786" s="2"/>
      <c r="AF3786" s="2"/>
      <c r="AG3786" s="2"/>
      <c r="AH3786" s="2"/>
      <c r="AI3786" s="2"/>
      <c r="AJ3786" s="2"/>
      <c r="AK3786" s="2"/>
      <c r="AL3786" s="2"/>
      <c r="AM3786" s="2"/>
      <c r="AN3786" s="2"/>
      <c r="AO3786" s="2"/>
      <c r="AP3786" s="2"/>
      <c r="AQ3786" s="2"/>
      <c r="AR3786" s="2"/>
      <c r="AS3786" s="2"/>
      <c r="AT3786" s="2"/>
      <c r="AU3786" s="2"/>
      <c r="AV3786" s="2"/>
      <c r="AW3786" s="2"/>
      <c r="AX3786" s="2"/>
      <c r="AY3786" s="2"/>
      <c r="AZ3786" s="2"/>
    </row>
    <row r="3787" spans="1:52">
      <c r="A3787" s="1" t="s">
        <v>2</v>
      </c>
      <c r="B3787" s="1" t="s">
        <v>3</v>
      </c>
      <c r="D3787" s="2">
        <v>18</v>
      </c>
      <c r="E3787" s="2" t="s">
        <v>111</v>
      </c>
      <c r="F3787" s="24">
        <v>250</v>
      </c>
      <c r="G3787" s="24">
        <f>A3788-100</f>
        <v>7200</v>
      </c>
      <c r="H3787" s="24">
        <f>B3788</f>
        <v>3200</v>
      </c>
      <c r="I3787" s="24">
        <f>G3787+6000</f>
        <v>13200</v>
      </c>
      <c r="J3787" s="24">
        <f>H3787</f>
        <v>3200</v>
      </c>
      <c r="K3787" s="24"/>
      <c r="L3787" s="24"/>
      <c r="O3787" s="24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  <c r="AF3787" s="2"/>
      <c r="AG3787" s="2"/>
      <c r="AH3787" s="2"/>
      <c r="AI3787" s="2"/>
      <c r="AJ3787" s="2"/>
      <c r="AK3787" s="2"/>
      <c r="AL3787" s="2"/>
      <c r="AM3787" s="2"/>
      <c r="AN3787" s="2"/>
      <c r="AO3787" s="2"/>
      <c r="AP3787" s="2"/>
      <c r="AQ3787" s="2"/>
      <c r="AR3787" s="2"/>
      <c r="AS3787" s="2"/>
      <c r="AT3787" s="2"/>
      <c r="AU3787" s="2"/>
      <c r="AV3787" s="2"/>
      <c r="AW3787" s="2"/>
      <c r="AX3787" s="2"/>
      <c r="AY3787" s="2"/>
      <c r="AZ3787" s="2"/>
    </row>
    <row r="3788" spans="1:52">
      <c r="A3788" s="1">
        <v>7300</v>
      </c>
      <c r="B3788" s="1">
        <v>3200</v>
      </c>
      <c r="D3788" s="2">
        <v>18</v>
      </c>
      <c r="E3788" s="2" t="s">
        <v>111</v>
      </c>
      <c r="F3788" s="24">
        <v>250</v>
      </c>
      <c r="G3788" s="24">
        <f>A3788</f>
        <v>7300</v>
      </c>
      <c r="H3788" s="24">
        <f>B3788+100</f>
        <v>3300</v>
      </c>
      <c r="I3788" s="24">
        <f>G3788</f>
        <v>7300</v>
      </c>
      <c r="J3788" s="24">
        <f>H3788-2700</f>
        <v>600</v>
      </c>
      <c r="K3788" s="24"/>
      <c r="L3788" s="36"/>
      <c r="M3788" s="24"/>
      <c r="N3788" s="24"/>
      <c r="O3788" s="24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  <c r="AC3788" s="2"/>
      <c r="AD3788" s="2"/>
      <c r="AE3788" s="2"/>
      <c r="AF3788" s="2"/>
      <c r="AG3788" s="2"/>
      <c r="AH3788" s="2"/>
      <c r="AI3788" s="2"/>
      <c r="AJ3788" s="2"/>
      <c r="AK3788" s="2"/>
      <c r="AL3788" s="2"/>
      <c r="AM3788" s="2"/>
      <c r="AN3788" s="2"/>
      <c r="AO3788" s="2"/>
      <c r="AP3788" s="2"/>
      <c r="AQ3788" s="2"/>
      <c r="AR3788" s="2"/>
      <c r="AS3788" s="2"/>
      <c r="AT3788" s="2"/>
      <c r="AU3788" s="2"/>
      <c r="AV3788" s="2"/>
      <c r="AW3788" s="2"/>
      <c r="AX3788" s="2"/>
      <c r="AY3788" s="2"/>
      <c r="AZ3788" s="2"/>
    </row>
    <row r="3789" spans="1:52">
      <c r="A3789" s="2"/>
      <c r="B3789" s="2"/>
      <c r="C3789" s="2"/>
      <c r="D3789" s="2">
        <f>ROUNDUP(6+F3789/2,0)</f>
        <v>19</v>
      </c>
      <c r="E3789" s="2" t="s">
        <v>6</v>
      </c>
      <c r="F3789" s="24">
        <f>LEN(G3789)</f>
        <v>25</v>
      </c>
      <c r="G3789" s="24" t="s">
        <v>632</v>
      </c>
      <c r="H3789" s="24">
        <f>B3788-3100</f>
        <v>100</v>
      </c>
      <c r="I3789" s="24">
        <f>A3788-300</f>
        <v>7000</v>
      </c>
      <c r="J3789" s="24"/>
      <c r="M3789" s="24"/>
      <c r="N3789" s="24"/>
      <c r="O3789" s="24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  <c r="AC3789" s="2"/>
      <c r="AD3789" s="2"/>
      <c r="AE3789" s="2"/>
      <c r="AF3789" s="2"/>
      <c r="AG3789" s="2"/>
      <c r="AH3789" s="2"/>
      <c r="AI3789" s="2"/>
      <c r="AJ3789" s="2"/>
      <c r="AK3789" s="2"/>
      <c r="AL3789" s="2"/>
      <c r="AM3789" s="2"/>
      <c r="AN3789" s="2"/>
      <c r="AO3789" s="2"/>
      <c r="AP3789" s="2"/>
      <c r="AQ3789" s="2"/>
      <c r="AR3789" s="2"/>
      <c r="AS3789" s="2"/>
      <c r="AT3789" s="2"/>
      <c r="AU3789" s="2"/>
      <c r="AV3789" s="2"/>
      <c r="AW3789" s="2"/>
      <c r="AX3789" s="2"/>
      <c r="AY3789" s="2"/>
      <c r="AZ3789" s="2"/>
    </row>
    <row r="3790" spans="1:52">
      <c r="D3790" s="2">
        <f>ROUNDUP(6+F3790/2,0)</f>
        <v>7</v>
      </c>
      <c r="E3790" s="2" t="s">
        <v>6</v>
      </c>
      <c r="F3790" s="24">
        <f>LEN(G3790)</f>
        <v>1</v>
      </c>
      <c r="G3790" s="24" t="s">
        <v>21</v>
      </c>
      <c r="H3790" s="24">
        <f>H3789+500</f>
        <v>600</v>
      </c>
      <c r="I3790" s="24">
        <f>I3789+500</f>
        <v>7500</v>
      </c>
      <c r="K3790" s="24"/>
      <c r="L3790" s="24"/>
      <c r="M3790" s="24"/>
      <c r="N3790" s="24"/>
      <c r="O3790" s="24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  <c r="AF3790" s="2"/>
      <c r="AG3790" s="2"/>
      <c r="AH3790" s="2"/>
      <c r="AI3790" s="2"/>
      <c r="AJ3790" s="2"/>
      <c r="AK3790" s="2"/>
      <c r="AL3790" s="2"/>
      <c r="AM3790" s="2"/>
      <c r="AN3790" s="2"/>
      <c r="AO3790" s="2"/>
      <c r="AP3790" s="2"/>
      <c r="AQ3790" s="2"/>
      <c r="AR3790" s="2"/>
      <c r="AS3790" s="2"/>
      <c r="AT3790" s="2"/>
      <c r="AU3790" s="2"/>
      <c r="AV3790" s="2"/>
      <c r="AW3790" s="2"/>
      <c r="AX3790" s="2"/>
      <c r="AY3790" s="2"/>
      <c r="AZ3790" s="2"/>
    </row>
    <row r="3791" spans="1:52">
      <c r="D3791" s="2">
        <v>18</v>
      </c>
      <c r="E3791" s="2" t="s">
        <v>111</v>
      </c>
      <c r="F3791" s="24">
        <v>100</v>
      </c>
      <c r="G3791" s="24">
        <f>I3790+350</f>
        <v>7850</v>
      </c>
      <c r="H3791" s="24">
        <f>J3791+250</f>
        <v>950</v>
      </c>
      <c r="I3791" s="24">
        <f>G3791</f>
        <v>7850</v>
      </c>
      <c r="J3791" s="24">
        <f>H3790+100</f>
        <v>700</v>
      </c>
      <c r="K3791" s="24"/>
      <c r="L3791" s="24"/>
      <c r="O3791" s="24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  <c r="AC3791" s="2"/>
      <c r="AD3791" s="2"/>
      <c r="AE3791" s="2"/>
      <c r="AF3791" s="2"/>
      <c r="AG3791" s="2"/>
      <c r="AH3791" s="2"/>
      <c r="AI3791" s="2"/>
      <c r="AJ3791" s="2"/>
      <c r="AK3791" s="2"/>
      <c r="AL3791" s="2"/>
      <c r="AM3791" s="2"/>
      <c r="AN3791" s="2"/>
      <c r="AO3791" s="2"/>
      <c r="AP3791" s="2"/>
      <c r="AQ3791" s="2"/>
      <c r="AR3791" s="2"/>
      <c r="AS3791" s="2"/>
      <c r="AT3791" s="2"/>
      <c r="AU3791" s="2"/>
      <c r="AV3791" s="2"/>
      <c r="AW3791" s="2"/>
      <c r="AX3791" s="2"/>
      <c r="AY3791" s="2"/>
      <c r="AZ3791" s="2"/>
    </row>
    <row r="3792" spans="1:52">
      <c r="C3792" s="2"/>
      <c r="D3792">
        <v>4</v>
      </c>
      <c r="E3792" t="s">
        <v>15</v>
      </c>
      <c r="F3792" s="6">
        <v>5</v>
      </c>
      <c r="G3792" s="24"/>
      <c r="H3792" s="24"/>
      <c r="I3792" s="24"/>
      <c r="J3792" s="24"/>
      <c r="K3792" s="24"/>
      <c r="L3792" s="24"/>
      <c r="M3792" s="24"/>
      <c r="N3792" s="24"/>
      <c r="O3792" s="24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  <c r="AC3792" s="2"/>
      <c r="AD3792" s="2"/>
      <c r="AE3792" s="2"/>
      <c r="AF3792" s="2"/>
      <c r="AG3792" s="2"/>
      <c r="AH3792" s="2"/>
      <c r="AI3792" s="2"/>
      <c r="AJ3792" s="2"/>
      <c r="AK3792" s="2"/>
      <c r="AL3792" s="2"/>
      <c r="AM3792" s="2"/>
      <c r="AN3792" s="2"/>
      <c r="AO3792" s="2"/>
      <c r="AP3792" s="2"/>
      <c r="AQ3792" s="2"/>
      <c r="AR3792" s="2"/>
      <c r="AS3792" s="2"/>
      <c r="AT3792" s="2"/>
      <c r="AU3792" s="2"/>
      <c r="AV3792" s="2"/>
      <c r="AW3792" s="2"/>
      <c r="AX3792" s="2"/>
      <c r="AY3792" s="2"/>
      <c r="AZ3792" s="2"/>
    </row>
    <row r="3793" spans="1:52">
      <c r="C3793" s="2"/>
      <c r="D3793" s="2">
        <f>F3793*2+4</f>
        <v>10</v>
      </c>
      <c r="E3793" s="2" t="s">
        <v>4</v>
      </c>
      <c r="F3793" s="24">
        <v>3</v>
      </c>
      <c r="G3793" s="24">
        <f>A3782</f>
        <v>300</v>
      </c>
      <c r="H3793" s="24">
        <f>B3782</f>
        <v>3200</v>
      </c>
      <c r="I3793" s="24">
        <f>G3793+3000</f>
        <v>3300</v>
      </c>
      <c r="J3793" s="24">
        <f>H3793-2000</f>
        <v>1200</v>
      </c>
      <c r="K3793" s="24">
        <f>I3793</f>
        <v>3300</v>
      </c>
      <c r="L3793" s="24">
        <f>H3793</f>
        <v>3200</v>
      </c>
      <c r="O3793" s="24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  <c r="AF3793" s="2"/>
      <c r="AG3793" s="2"/>
      <c r="AH3793" s="2"/>
      <c r="AI3793" s="2"/>
      <c r="AJ3793" s="2"/>
      <c r="AK3793" s="2"/>
      <c r="AL3793" s="2"/>
      <c r="AM3793" s="2"/>
      <c r="AN3793" s="2"/>
      <c r="AO3793" s="2"/>
      <c r="AP3793" s="2"/>
      <c r="AQ3793" s="2"/>
      <c r="AR3793" s="2"/>
      <c r="AS3793" s="2"/>
      <c r="AT3793" s="2"/>
      <c r="AU3793" s="2"/>
      <c r="AV3793" s="2"/>
      <c r="AW3793" s="2"/>
      <c r="AX3793" s="2"/>
      <c r="AY3793" s="2"/>
      <c r="AZ3793" s="2"/>
    </row>
    <row r="3794" spans="1:52">
      <c r="C3794" s="2"/>
      <c r="D3794" s="2">
        <f>F3794*2+4</f>
        <v>12</v>
      </c>
      <c r="E3794" s="2" t="s">
        <v>4</v>
      </c>
      <c r="F3794" s="24">
        <v>4</v>
      </c>
      <c r="G3794" s="24">
        <f>A3788</f>
        <v>7300</v>
      </c>
      <c r="H3794" s="24">
        <f>B3788</f>
        <v>3200</v>
      </c>
      <c r="I3794" s="24">
        <f>G3794+2000</f>
        <v>9300</v>
      </c>
      <c r="J3794" s="24">
        <f>L3794</f>
        <v>700</v>
      </c>
      <c r="K3794" s="24">
        <f>G3794+5000</f>
        <v>12300</v>
      </c>
      <c r="L3794" s="24">
        <f>H3794-2500</f>
        <v>700</v>
      </c>
      <c r="M3794" s="6">
        <f>K3794</f>
        <v>12300</v>
      </c>
      <c r="N3794" s="6">
        <f>H3794</f>
        <v>3200</v>
      </c>
      <c r="O3794" s="24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  <c r="AF3794" s="2"/>
      <c r="AG3794" s="2"/>
      <c r="AH3794" s="2"/>
      <c r="AI3794" s="2"/>
      <c r="AJ3794" s="2"/>
      <c r="AK3794" s="2"/>
      <c r="AL3794" s="2"/>
      <c r="AM3794" s="2"/>
      <c r="AN3794" s="2"/>
      <c r="AO3794" s="2"/>
      <c r="AP3794" s="2"/>
      <c r="AQ3794" s="2"/>
      <c r="AR3794" s="2"/>
      <c r="AS3794" s="2"/>
      <c r="AT3794" s="2"/>
      <c r="AU3794" s="2"/>
      <c r="AV3794" s="2"/>
      <c r="AW3794" s="2"/>
      <c r="AX3794" s="2"/>
      <c r="AY3794" s="2"/>
      <c r="AZ3794" s="2"/>
    </row>
    <row r="3795" spans="1:52">
      <c r="A3795" s="2"/>
      <c r="B3795" s="2"/>
      <c r="C3795" s="2"/>
      <c r="D3795">
        <v>4</v>
      </c>
      <c r="E3795" t="s">
        <v>15</v>
      </c>
      <c r="F3795" s="6">
        <v>4</v>
      </c>
      <c r="G3795" s="2"/>
      <c r="H3795" s="2"/>
      <c r="I3795" s="2"/>
      <c r="J3795" s="2"/>
      <c r="K3795" s="2"/>
      <c r="L3795" s="2"/>
      <c r="M3795" s="2"/>
      <c r="N3795" s="2"/>
      <c r="O3795" s="24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  <c r="AF3795" s="2"/>
      <c r="AG3795" s="2"/>
      <c r="AH3795" s="2"/>
      <c r="AI3795" s="2"/>
      <c r="AJ3795" s="2"/>
      <c r="AK3795" s="2"/>
      <c r="AL3795" s="2"/>
      <c r="AM3795" s="2"/>
      <c r="AN3795" s="2"/>
      <c r="AO3795" s="2"/>
      <c r="AP3795" s="2"/>
      <c r="AQ3795" s="2"/>
      <c r="AR3795" s="2"/>
      <c r="AS3795" s="2"/>
      <c r="AT3795" s="2"/>
      <c r="AU3795" s="2"/>
      <c r="AV3795" s="2"/>
      <c r="AW3795" s="2"/>
      <c r="AX3795" s="2"/>
      <c r="AY3795" s="2"/>
      <c r="AZ3795" s="2"/>
    </row>
    <row r="3796" spans="1:52">
      <c r="A3796" s="2"/>
      <c r="B3796" s="2"/>
      <c r="C3796" s="2"/>
      <c r="D3796" s="2">
        <f>F3796*2+4</f>
        <v>12</v>
      </c>
      <c r="E3796" s="2" t="s">
        <v>4</v>
      </c>
      <c r="F3796" s="24">
        <v>4</v>
      </c>
      <c r="G3796" s="24">
        <f>A3782</f>
        <v>300</v>
      </c>
      <c r="H3796" s="24">
        <f>B3782</f>
        <v>3200</v>
      </c>
      <c r="I3796" s="24">
        <f>G3796+4000</f>
        <v>4300</v>
      </c>
      <c r="J3796" s="24">
        <f>L3796</f>
        <v>1200</v>
      </c>
      <c r="K3796" s="24">
        <f>G3796+5000</f>
        <v>5300</v>
      </c>
      <c r="L3796" s="24">
        <f>H3796-2000</f>
        <v>1200</v>
      </c>
      <c r="M3796" s="6">
        <f>K3796</f>
        <v>5300</v>
      </c>
      <c r="N3796" s="6">
        <f>H3796</f>
        <v>3200</v>
      </c>
      <c r="O3796" s="24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  <c r="AF3796" s="2"/>
      <c r="AG3796" s="2"/>
      <c r="AH3796" s="2"/>
      <c r="AI3796" s="2"/>
      <c r="AJ3796" s="2"/>
      <c r="AK3796" s="2"/>
      <c r="AL3796" s="2"/>
      <c r="AM3796" s="2"/>
      <c r="AN3796" s="2"/>
      <c r="AO3796" s="2"/>
      <c r="AP3796" s="2"/>
      <c r="AQ3796" s="2"/>
      <c r="AR3796" s="2"/>
      <c r="AS3796" s="2"/>
      <c r="AT3796" s="2"/>
      <c r="AU3796" s="2"/>
      <c r="AV3796" s="2"/>
      <c r="AW3796" s="2"/>
      <c r="AX3796" s="2"/>
      <c r="AY3796" s="2"/>
      <c r="AZ3796" s="2"/>
    </row>
    <row r="3797" spans="1:52">
      <c r="A3797" s="2"/>
      <c r="B3797" s="2"/>
      <c r="C3797" s="2"/>
      <c r="D3797">
        <v>4</v>
      </c>
      <c r="E3797" t="s">
        <v>15</v>
      </c>
      <c r="F3797" s="6">
        <v>3</v>
      </c>
      <c r="G3797" s="24"/>
      <c r="H3797" s="24"/>
      <c r="I3797" s="24"/>
      <c r="J3797" s="24"/>
      <c r="K3797" s="24"/>
      <c r="L3797" s="24"/>
      <c r="M3797" s="24"/>
      <c r="N3797" s="24"/>
      <c r="O3797" s="24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  <c r="AC3797" s="2"/>
      <c r="AD3797" s="2"/>
      <c r="AE3797" s="2"/>
      <c r="AF3797" s="2"/>
      <c r="AG3797" s="2"/>
      <c r="AH3797" s="2"/>
      <c r="AI3797" s="2"/>
      <c r="AJ3797" s="2"/>
      <c r="AK3797" s="2"/>
      <c r="AL3797" s="2"/>
      <c r="AM3797" s="2"/>
      <c r="AN3797" s="2"/>
      <c r="AO3797" s="2"/>
      <c r="AP3797" s="2"/>
      <c r="AQ3797" s="2"/>
      <c r="AR3797" s="2"/>
      <c r="AS3797" s="2"/>
      <c r="AT3797" s="2"/>
      <c r="AU3797" s="2"/>
      <c r="AV3797" s="2"/>
      <c r="AW3797" s="2"/>
      <c r="AX3797" s="2"/>
      <c r="AY3797" s="2"/>
      <c r="AZ3797" s="2"/>
    </row>
    <row r="3798" spans="1:52">
      <c r="A3798" s="2"/>
      <c r="B3798" s="2"/>
      <c r="C3798" s="2"/>
      <c r="D3798" s="2">
        <f>F3798*2+4</f>
        <v>12</v>
      </c>
      <c r="E3798" s="2" t="s">
        <v>4</v>
      </c>
      <c r="F3798" s="24">
        <v>4</v>
      </c>
      <c r="G3798" s="24">
        <f>A3788</f>
        <v>7300</v>
      </c>
      <c r="H3798" s="24">
        <f>B3788</f>
        <v>3200</v>
      </c>
      <c r="I3798" s="24">
        <f>G3798+2000</f>
        <v>9300</v>
      </c>
      <c r="J3798" s="24">
        <f>L3798</f>
        <v>1200</v>
      </c>
      <c r="K3798" s="24">
        <f>G3798+5000</f>
        <v>12300</v>
      </c>
      <c r="L3798" s="24">
        <f>H3798-2000</f>
        <v>1200</v>
      </c>
      <c r="M3798" s="6">
        <f>K3798</f>
        <v>12300</v>
      </c>
      <c r="N3798" s="6">
        <f>H3798</f>
        <v>3200</v>
      </c>
      <c r="O3798" s="24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  <c r="AF3798" s="2"/>
      <c r="AG3798" s="2"/>
      <c r="AH3798" s="2"/>
      <c r="AI3798" s="2"/>
      <c r="AJ3798" s="2"/>
      <c r="AK3798" s="2"/>
      <c r="AL3798" s="2"/>
      <c r="AM3798" s="2"/>
      <c r="AN3798" s="2"/>
      <c r="AO3798" s="2"/>
      <c r="AP3798" s="2"/>
      <c r="AQ3798" s="2"/>
      <c r="AR3798" s="2"/>
      <c r="AS3798" s="2"/>
      <c r="AT3798" s="2"/>
      <c r="AU3798" s="2"/>
      <c r="AV3798" s="2"/>
      <c r="AW3798" s="2"/>
      <c r="AX3798" s="2"/>
      <c r="AY3798" s="2"/>
      <c r="AZ3798" s="2"/>
    </row>
    <row r="3799" spans="1:52">
      <c r="A3799" s="2"/>
      <c r="B3799" s="2"/>
      <c r="C3799" s="2"/>
      <c r="D3799" s="2">
        <f>F3799*2+4</f>
        <v>10</v>
      </c>
      <c r="E3799" s="2" t="s">
        <v>4</v>
      </c>
      <c r="F3799" s="24">
        <v>3</v>
      </c>
      <c r="G3799" s="2">
        <f>G3793</f>
        <v>300</v>
      </c>
      <c r="H3799" s="2">
        <f>H3793</f>
        <v>3200</v>
      </c>
      <c r="I3799" s="2">
        <f>I3793</f>
        <v>3300</v>
      </c>
      <c r="J3799" s="2">
        <f>H3799-1500</f>
        <v>1700</v>
      </c>
      <c r="K3799" s="2">
        <f>K3793</f>
        <v>3300</v>
      </c>
      <c r="L3799" s="2">
        <f>L3793</f>
        <v>3200</v>
      </c>
      <c r="M3799" s="2"/>
      <c r="N3799" s="2"/>
      <c r="O3799" s="24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  <c r="AC3799" s="2"/>
      <c r="AD3799" s="2"/>
      <c r="AE3799" s="2"/>
      <c r="AF3799" s="2"/>
      <c r="AG3799" s="2"/>
      <c r="AH3799" s="2"/>
      <c r="AI3799" s="2"/>
      <c r="AJ3799" s="2"/>
      <c r="AK3799" s="2"/>
      <c r="AL3799" s="2"/>
      <c r="AM3799" s="2"/>
      <c r="AN3799" s="2"/>
      <c r="AO3799" s="2"/>
      <c r="AP3799" s="2"/>
      <c r="AQ3799" s="2"/>
      <c r="AR3799" s="2"/>
      <c r="AS3799" s="2"/>
      <c r="AT3799" s="2"/>
      <c r="AU3799" s="2"/>
      <c r="AV3799" s="2"/>
      <c r="AW3799" s="2"/>
      <c r="AX3799" s="2"/>
      <c r="AY3799" s="2"/>
      <c r="AZ3799" s="2"/>
    </row>
    <row r="3801" spans="1:52">
      <c r="A3801" s="48" t="s">
        <v>383</v>
      </c>
      <c r="B3801" s="1" t="s">
        <v>783</v>
      </c>
      <c r="D3801" t="s">
        <v>449</v>
      </c>
      <c r="E3801">
        <v>52695</v>
      </c>
      <c r="F3801" s="6">
        <v>39622</v>
      </c>
      <c r="G3801" s="6">
        <v>0</v>
      </c>
      <c r="H3801" s="6">
        <v>0</v>
      </c>
      <c r="I3801" s="6">
        <v>0</v>
      </c>
      <c r="J3801" s="6">
        <v>14500</v>
      </c>
      <c r="K3801" s="6">
        <v>10500</v>
      </c>
      <c r="L3801" s="6">
        <v>2400</v>
      </c>
      <c r="M3801" s="6">
        <v>0</v>
      </c>
      <c r="N3801" s="6">
        <v>0</v>
      </c>
      <c r="O3801" s="6" t="e">
        <f ca="1">checksummeint(G3801,H3801,I3801,J3801,K3801,L3801,M3801,N3801)</f>
        <v>#NAME?</v>
      </c>
    </row>
    <row r="3802" spans="1:52">
      <c r="A3802" s="1"/>
      <c r="C3802">
        <v>0</v>
      </c>
      <c r="D3802">
        <v>28</v>
      </c>
      <c r="E3802" t="s">
        <v>12</v>
      </c>
      <c r="F3802" s="6">
        <v>450</v>
      </c>
      <c r="G3802" s="6">
        <v>0</v>
      </c>
      <c r="H3802" s="6">
        <v>0</v>
      </c>
      <c r="I3802" s="6">
        <v>0</v>
      </c>
      <c r="J3802" s="6">
        <v>400</v>
      </c>
      <c r="K3802" s="6">
        <v>0</v>
      </c>
      <c r="L3802" s="6">
        <v>0</v>
      </c>
      <c r="M3802" s="6">
        <v>0</v>
      </c>
      <c r="N3802" s="6">
        <v>0</v>
      </c>
      <c r="O3802" s="6" t="s">
        <v>19</v>
      </c>
    </row>
    <row r="3803" spans="1:52">
      <c r="C3803">
        <v>1</v>
      </c>
      <c r="D3803">
        <v>8</v>
      </c>
      <c r="E3803" t="s">
        <v>14</v>
      </c>
      <c r="F3803" s="6">
        <v>0</v>
      </c>
      <c r="G3803" s="6">
        <v>20</v>
      </c>
      <c r="H3803" s="6">
        <v>0</v>
      </c>
      <c r="I3803" s="6">
        <v>0</v>
      </c>
      <c r="J3803" s="6">
        <v>0</v>
      </c>
      <c r="M3803" s="44"/>
    </row>
    <row r="3804" spans="1:52">
      <c r="C3804">
        <v>2</v>
      </c>
      <c r="D3804">
        <v>7</v>
      </c>
      <c r="E3804" t="s">
        <v>11</v>
      </c>
      <c r="F3804" s="6">
        <v>0</v>
      </c>
      <c r="G3804" s="24">
        <v>0</v>
      </c>
      <c r="H3804" s="24">
        <v>0</v>
      </c>
      <c r="I3804" s="6">
        <v>0</v>
      </c>
    </row>
    <row r="3805" spans="1:52">
      <c r="C3805">
        <v>3</v>
      </c>
      <c r="D3805">
        <v>7</v>
      </c>
      <c r="E3805" t="s">
        <v>11</v>
      </c>
      <c r="F3805" s="6">
        <v>0</v>
      </c>
      <c r="G3805" s="24">
        <v>-64</v>
      </c>
      <c r="H3805" s="24">
        <v>192</v>
      </c>
      <c r="I3805" s="6">
        <v>0</v>
      </c>
      <c r="N3805" s="24"/>
    </row>
    <row r="3806" spans="1:52">
      <c r="C3806">
        <v>4</v>
      </c>
      <c r="D3806">
        <v>7</v>
      </c>
      <c r="E3806" t="s">
        <v>11</v>
      </c>
      <c r="F3806" s="6">
        <v>0</v>
      </c>
      <c r="G3806" s="6">
        <v>-192</v>
      </c>
      <c r="H3806" s="6">
        <v>0</v>
      </c>
      <c r="I3806" s="6">
        <v>0</v>
      </c>
      <c r="N3806" s="24"/>
    </row>
    <row r="3807" spans="1:52">
      <c r="A3807" s="1"/>
      <c r="B3807" s="1"/>
      <c r="C3807">
        <v>5</v>
      </c>
      <c r="D3807">
        <v>7</v>
      </c>
      <c r="E3807" t="s">
        <v>11</v>
      </c>
      <c r="F3807" s="6">
        <v>0</v>
      </c>
      <c r="G3807" s="6">
        <v>-256</v>
      </c>
      <c r="H3807" s="6">
        <v>0</v>
      </c>
      <c r="I3807" s="6">
        <v>0</v>
      </c>
    </row>
    <row r="3808" spans="1:52">
      <c r="A3808" s="1"/>
      <c r="B3808" s="1"/>
      <c r="D3808">
        <v>5</v>
      </c>
      <c r="E3808" t="s">
        <v>59</v>
      </c>
      <c r="F3808" s="6">
        <v>1</v>
      </c>
      <c r="G3808" s="6">
        <v>0</v>
      </c>
    </row>
    <row r="3809" spans="1:16">
      <c r="A3809" s="1"/>
      <c r="B3809" s="1"/>
      <c r="D3809">
        <v>4</v>
      </c>
      <c r="E3809" t="s">
        <v>15</v>
      </c>
      <c r="F3809" s="6">
        <v>0</v>
      </c>
      <c r="N3809" s="31"/>
    </row>
    <row r="3810" spans="1:16">
      <c r="A3810" s="1"/>
      <c r="B3810" s="1"/>
      <c r="D3810">
        <v>4</v>
      </c>
      <c r="E3810" t="s">
        <v>15</v>
      </c>
      <c r="F3810" s="6">
        <v>1</v>
      </c>
      <c r="G3810" s="24"/>
    </row>
    <row r="3811" spans="1:16">
      <c r="A3811" s="2"/>
      <c r="B3811" s="2"/>
      <c r="D3811">
        <v>4</v>
      </c>
      <c r="E3811" t="s">
        <v>15</v>
      </c>
      <c r="F3811" s="6">
        <v>2</v>
      </c>
      <c r="G3811" s="24"/>
      <c r="H3811" s="24"/>
      <c r="I3811" s="24"/>
      <c r="J3811" s="24"/>
      <c r="K3811" s="24"/>
      <c r="L3811" s="36"/>
      <c r="M3811" s="24"/>
      <c r="N3811" s="24"/>
      <c r="O3811" s="24"/>
    </row>
    <row r="3812" spans="1:16">
      <c r="A3812" s="1" t="s">
        <v>2</v>
      </c>
      <c r="B3812" s="1" t="s">
        <v>3</v>
      </c>
      <c r="D3812" s="2">
        <v>18</v>
      </c>
      <c r="E3812" s="2" t="s">
        <v>111</v>
      </c>
      <c r="F3812" s="24">
        <v>250</v>
      </c>
      <c r="G3812" s="24">
        <f>A3813-100</f>
        <v>200</v>
      </c>
      <c r="H3812" s="24">
        <f>B3813</f>
        <v>2800</v>
      </c>
      <c r="I3812" s="24">
        <f>G3812+6800</f>
        <v>7000</v>
      </c>
      <c r="J3812" s="24">
        <f>H3812</f>
        <v>2800</v>
      </c>
      <c r="K3812" s="24"/>
      <c r="L3812" s="24"/>
      <c r="O3812" s="36"/>
    </row>
    <row r="3813" spans="1:16">
      <c r="A3813" s="1">
        <v>300</v>
      </c>
      <c r="B3813" s="1">
        <v>2800</v>
      </c>
      <c r="D3813" s="2">
        <v>18</v>
      </c>
      <c r="E3813" s="2" t="s">
        <v>111</v>
      </c>
      <c r="F3813" s="24">
        <v>250</v>
      </c>
      <c r="G3813" s="24">
        <f>A3813</f>
        <v>300</v>
      </c>
      <c r="H3813" s="24">
        <f>B3813+100</f>
        <v>2900</v>
      </c>
      <c r="I3813" s="24">
        <f>G3813</f>
        <v>300</v>
      </c>
      <c r="J3813" s="24">
        <f>H3813-2700</f>
        <v>200</v>
      </c>
      <c r="K3813" s="24"/>
      <c r="L3813" s="36"/>
      <c r="M3813" s="24"/>
      <c r="N3813" s="24"/>
      <c r="O3813" s="24"/>
      <c r="P3813" s="2"/>
    </row>
    <row r="3814" spans="1:16">
      <c r="A3814" s="1" t="s">
        <v>2</v>
      </c>
      <c r="B3814" s="1" t="s">
        <v>3</v>
      </c>
      <c r="D3814" s="2">
        <v>18</v>
      </c>
      <c r="E3814" s="2" t="s">
        <v>111</v>
      </c>
      <c r="F3814" s="24">
        <v>250</v>
      </c>
      <c r="G3814" s="24">
        <f>A3815-100</f>
        <v>7200</v>
      </c>
      <c r="H3814" s="24">
        <f>B3815</f>
        <v>2800</v>
      </c>
      <c r="I3814" s="24">
        <f>G3814+6800</f>
        <v>14000</v>
      </c>
      <c r="J3814" s="24">
        <f>H3814</f>
        <v>2800</v>
      </c>
      <c r="K3814" s="24"/>
      <c r="L3814" s="24"/>
      <c r="O3814" s="24"/>
      <c r="P3814" s="2"/>
    </row>
    <row r="3815" spans="1:16">
      <c r="A3815" s="1">
        <v>7300</v>
      </c>
      <c r="B3815" s="1">
        <v>2800</v>
      </c>
      <c r="D3815" s="2">
        <v>18</v>
      </c>
      <c r="E3815" s="2" t="s">
        <v>111</v>
      </c>
      <c r="F3815" s="24">
        <v>250</v>
      </c>
      <c r="G3815" s="24">
        <f>A3815</f>
        <v>7300</v>
      </c>
      <c r="H3815" s="24">
        <f>B3815+100</f>
        <v>2900</v>
      </c>
      <c r="I3815" s="24">
        <f>G3815</f>
        <v>7300</v>
      </c>
      <c r="J3815" s="24">
        <f>H3815-2700</f>
        <v>200</v>
      </c>
      <c r="K3815" s="24"/>
      <c r="L3815" s="36"/>
      <c r="M3815" s="24"/>
      <c r="N3815" s="24"/>
      <c r="O3815" s="24"/>
      <c r="P3815" s="2"/>
    </row>
    <row r="3816" spans="1:16">
      <c r="A3816" s="1" t="s">
        <v>2</v>
      </c>
      <c r="B3816" s="1" t="s">
        <v>3</v>
      </c>
      <c r="D3816" s="2">
        <v>18</v>
      </c>
      <c r="E3816" s="2" t="s">
        <v>111</v>
      </c>
      <c r="F3816" s="24">
        <v>250</v>
      </c>
      <c r="G3816" s="24">
        <f>A3817-100</f>
        <v>200</v>
      </c>
      <c r="H3816" s="24">
        <f>B3817</f>
        <v>6100</v>
      </c>
      <c r="I3816" s="24">
        <f>G3816+6000</f>
        <v>6200</v>
      </c>
      <c r="J3816" s="24">
        <f>H3816</f>
        <v>6100</v>
      </c>
      <c r="K3816" s="24"/>
      <c r="L3816" s="24"/>
      <c r="O3816" s="24"/>
      <c r="P3816" s="2"/>
    </row>
    <row r="3817" spans="1:16">
      <c r="A3817" s="1">
        <v>300</v>
      </c>
      <c r="B3817" s="1">
        <v>6100</v>
      </c>
      <c r="D3817" s="2">
        <v>18</v>
      </c>
      <c r="E3817" s="2" t="s">
        <v>111</v>
      </c>
      <c r="F3817" s="24">
        <v>250</v>
      </c>
      <c r="G3817" s="24">
        <f>A3817</f>
        <v>300</v>
      </c>
      <c r="H3817" s="24">
        <f>B3817+100</f>
        <v>6200</v>
      </c>
      <c r="I3817" s="24">
        <f>G3817</f>
        <v>300</v>
      </c>
      <c r="J3817" s="24">
        <f>H3817-2700</f>
        <v>3500</v>
      </c>
      <c r="K3817" s="24"/>
      <c r="L3817" s="36"/>
      <c r="M3817" s="24"/>
      <c r="N3817" s="24"/>
      <c r="O3817" s="24"/>
      <c r="P3817" s="2"/>
    </row>
    <row r="3818" spans="1:16">
      <c r="A3818" s="1" t="s">
        <v>2</v>
      </c>
      <c r="B3818" s="1" t="s">
        <v>3</v>
      </c>
      <c r="D3818" s="2">
        <v>18</v>
      </c>
      <c r="E3818" s="2" t="s">
        <v>111</v>
      </c>
      <c r="F3818" s="24">
        <v>250</v>
      </c>
      <c r="G3818" s="24">
        <f>A3819-100</f>
        <v>7200</v>
      </c>
      <c r="H3818" s="24">
        <f>B3819</f>
        <v>6100</v>
      </c>
      <c r="I3818" s="24">
        <f>G3818+6000</f>
        <v>13200</v>
      </c>
      <c r="J3818" s="24">
        <f>H3818</f>
        <v>6100</v>
      </c>
      <c r="K3818" s="24"/>
      <c r="L3818" s="24"/>
      <c r="O3818" s="24"/>
      <c r="P3818" s="2"/>
    </row>
    <row r="3819" spans="1:16">
      <c r="A3819" s="1">
        <v>7300</v>
      </c>
      <c r="B3819" s="1">
        <v>6100</v>
      </c>
      <c r="D3819" s="2">
        <v>18</v>
      </c>
      <c r="E3819" s="2" t="s">
        <v>111</v>
      </c>
      <c r="F3819" s="24">
        <v>250</v>
      </c>
      <c r="G3819" s="24">
        <f>A3819</f>
        <v>7300</v>
      </c>
      <c r="H3819" s="24">
        <f>B3819+100</f>
        <v>6200</v>
      </c>
      <c r="I3819" s="24">
        <f>G3819</f>
        <v>7300</v>
      </c>
      <c r="J3819" s="24">
        <f>H3819-2700</f>
        <v>3500</v>
      </c>
      <c r="K3819" s="24"/>
      <c r="L3819" s="36"/>
      <c r="M3819" s="24"/>
      <c r="N3819" s="24"/>
      <c r="O3819" s="24"/>
      <c r="P3819" s="2"/>
    </row>
    <row r="3820" spans="1:16">
      <c r="A3820" s="1" t="s">
        <v>2</v>
      </c>
      <c r="B3820" s="1" t="s">
        <v>3</v>
      </c>
      <c r="D3820" s="2">
        <v>18</v>
      </c>
      <c r="E3820" s="2" t="s">
        <v>111</v>
      </c>
      <c r="F3820" s="24">
        <v>250</v>
      </c>
      <c r="G3820" s="24">
        <f>A3821-100</f>
        <v>200</v>
      </c>
      <c r="H3820" s="24">
        <f>B3821</f>
        <v>10200</v>
      </c>
      <c r="I3820" s="24">
        <f>G3820+6000</f>
        <v>6200</v>
      </c>
      <c r="J3820" s="24">
        <f>H3820</f>
        <v>10200</v>
      </c>
      <c r="K3820" s="24"/>
      <c r="L3820" s="24"/>
      <c r="O3820" s="24"/>
      <c r="P3820" s="2"/>
    </row>
    <row r="3821" spans="1:16">
      <c r="A3821" s="1">
        <v>300</v>
      </c>
      <c r="B3821" s="1">
        <v>10200</v>
      </c>
      <c r="D3821" s="2">
        <v>18</v>
      </c>
      <c r="E3821" s="2" t="s">
        <v>111</v>
      </c>
      <c r="F3821" s="24">
        <v>250</v>
      </c>
      <c r="G3821" s="24">
        <f>A3821</f>
        <v>300</v>
      </c>
      <c r="H3821" s="24">
        <f>B3821+100</f>
        <v>10300</v>
      </c>
      <c r="I3821" s="24">
        <f>G3821</f>
        <v>300</v>
      </c>
      <c r="J3821" s="24">
        <f>H3821-3700</f>
        <v>6600</v>
      </c>
      <c r="K3821" s="24"/>
      <c r="L3821" s="36"/>
      <c r="M3821" s="24"/>
      <c r="N3821" s="24"/>
      <c r="O3821" s="24"/>
      <c r="P3821" s="2"/>
    </row>
    <row r="3822" spans="1:16">
      <c r="A3822" s="1" t="s">
        <v>2</v>
      </c>
      <c r="B3822" s="1" t="s">
        <v>3</v>
      </c>
      <c r="D3822" s="2">
        <v>18</v>
      </c>
      <c r="E3822" s="2" t="s">
        <v>111</v>
      </c>
      <c r="F3822" s="24">
        <v>250</v>
      </c>
      <c r="G3822" s="24">
        <f>A3823-100</f>
        <v>7200</v>
      </c>
      <c r="H3822" s="24">
        <f>B3823</f>
        <v>10200</v>
      </c>
      <c r="I3822" s="24">
        <f>G3822+6000</f>
        <v>13200</v>
      </c>
      <c r="J3822" s="24">
        <f>H3822</f>
        <v>10200</v>
      </c>
      <c r="K3822" s="24"/>
      <c r="L3822" s="24"/>
      <c r="O3822" s="24"/>
      <c r="P3822" s="2"/>
    </row>
    <row r="3823" spans="1:16">
      <c r="A3823" s="1">
        <v>7300</v>
      </c>
      <c r="B3823" s="1">
        <v>10200</v>
      </c>
      <c r="D3823" s="2">
        <v>18</v>
      </c>
      <c r="E3823" s="2" t="s">
        <v>111</v>
      </c>
      <c r="F3823" s="24">
        <v>250</v>
      </c>
      <c r="G3823" s="24">
        <f>A3823</f>
        <v>7300</v>
      </c>
      <c r="H3823" s="24">
        <f>B3823+100</f>
        <v>10300</v>
      </c>
      <c r="I3823" s="24">
        <f>G3823</f>
        <v>7300</v>
      </c>
      <c r="J3823" s="24">
        <f>H3823-3700</f>
        <v>6600</v>
      </c>
      <c r="K3823" s="24"/>
      <c r="L3823" s="36"/>
      <c r="M3823" s="24"/>
      <c r="N3823" s="24"/>
      <c r="O3823" s="24"/>
      <c r="P3823" s="2"/>
    </row>
    <row r="3824" spans="1:16">
      <c r="A3824" s="2"/>
      <c r="B3824" s="2"/>
      <c r="C3824" s="2"/>
      <c r="D3824">
        <v>4</v>
      </c>
      <c r="E3824" t="s">
        <v>15</v>
      </c>
      <c r="F3824" s="6">
        <v>5</v>
      </c>
      <c r="G3824" s="24"/>
      <c r="H3824" s="24"/>
      <c r="I3824" s="24"/>
      <c r="J3824" s="24"/>
      <c r="K3824" s="24"/>
      <c r="L3824" s="24"/>
      <c r="M3824" s="24"/>
      <c r="N3824" s="24"/>
      <c r="O3824" s="24"/>
      <c r="P3824" s="2"/>
    </row>
    <row r="3825" spans="1:16">
      <c r="A3825" s="2"/>
      <c r="B3825" s="2"/>
      <c r="C3825" s="2"/>
      <c r="D3825" s="2">
        <f t="shared" ref="D3825:D3830" si="181">F3825*2+4</f>
        <v>12</v>
      </c>
      <c r="E3825" s="2" t="s">
        <v>4</v>
      </c>
      <c r="F3825" s="24">
        <v>4</v>
      </c>
      <c r="G3825" s="24">
        <f>A3813</f>
        <v>300</v>
      </c>
      <c r="H3825" s="24">
        <f>B3813</f>
        <v>2800</v>
      </c>
      <c r="I3825" s="24">
        <f>G3825+2000*O3825</f>
        <v>1100</v>
      </c>
      <c r="J3825" s="24">
        <f t="shared" ref="J3825:J3830" si="182">L3825</f>
        <v>2000</v>
      </c>
      <c r="K3825" s="24">
        <f>G3825+5000*O3825</f>
        <v>2300</v>
      </c>
      <c r="L3825" s="24">
        <f>H3825-2000*P3825</f>
        <v>2000</v>
      </c>
      <c r="M3825" s="24">
        <f t="shared" ref="M3825:M3830" si="183">K3825</f>
        <v>2300</v>
      </c>
      <c r="N3825" s="24">
        <f t="shared" ref="N3825:N3830" si="184">H3825</f>
        <v>2800</v>
      </c>
      <c r="O3825" s="24">
        <v>0.4</v>
      </c>
      <c r="P3825" s="2">
        <v>0.4</v>
      </c>
    </row>
    <row r="3826" spans="1:16">
      <c r="D3826" s="2">
        <f t="shared" si="181"/>
        <v>12</v>
      </c>
      <c r="E3826" s="2" t="s">
        <v>4</v>
      </c>
      <c r="F3826" s="24">
        <v>4</v>
      </c>
      <c r="G3826" s="24">
        <f>K3833</f>
        <v>11300</v>
      </c>
      <c r="H3826" s="24">
        <f>L3833</f>
        <v>2400</v>
      </c>
      <c r="I3826" s="24">
        <f t="shared" ref="I3826:I3837" si="185">G3826+2000*O3826</f>
        <v>12100</v>
      </c>
      <c r="J3826" s="24">
        <f t="shared" si="182"/>
        <v>1600</v>
      </c>
      <c r="K3826" s="24">
        <f t="shared" ref="K3826:K3837" si="186">G3826+5000*O3826</f>
        <v>13300</v>
      </c>
      <c r="L3826" s="24">
        <f t="shared" ref="L3826:L3837" si="187">H3826-2000*P3826</f>
        <v>1600</v>
      </c>
      <c r="M3826" s="24">
        <f t="shared" si="183"/>
        <v>13300</v>
      </c>
      <c r="N3826" s="24">
        <f t="shared" si="184"/>
        <v>2400</v>
      </c>
      <c r="O3826" s="24">
        <v>0.4</v>
      </c>
      <c r="P3826" s="2">
        <v>0.4</v>
      </c>
    </row>
    <row r="3827" spans="1:16">
      <c r="A3827" s="2"/>
      <c r="B3827" s="2"/>
      <c r="C3827" s="2"/>
      <c r="D3827" s="2">
        <f t="shared" si="181"/>
        <v>12</v>
      </c>
      <c r="E3827" s="2" t="s">
        <v>4</v>
      </c>
      <c r="F3827" s="24">
        <v>4</v>
      </c>
      <c r="G3827" s="24">
        <f>A3817</f>
        <v>300</v>
      </c>
      <c r="H3827" s="24">
        <f>B3817</f>
        <v>6100</v>
      </c>
      <c r="I3827" s="24">
        <f t="shared" si="185"/>
        <v>1100</v>
      </c>
      <c r="J3827" s="24">
        <f t="shared" si="182"/>
        <v>5300</v>
      </c>
      <c r="K3827" s="24">
        <f t="shared" si="186"/>
        <v>2300</v>
      </c>
      <c r="L3827" s="24">
        <f t="shared" si="187"/>
        <v>5300</v>
      </c>
      <c r="M3827" s="24">
        <f t="shared" si="183"/>
        <v>2300</v>
      </c>
      <c r="N3827" s="24">
        <f t="shared" si="184"/>
        <v>6100</v>
      </c>
      <c r="O3827" s="24">
        <v>0.4</v>
      </c>
      <c r="P3827" s="2">
        <v>0.4</v>
      </c>
    </row>
    <row r="3828" spans="1:16">
      <c r="A3828" s="2"/>
      <c r="B3828" s="2"/>
      <c r="C3828" s="2"/>
      <c r="D3828" s="2">
        <f t="shared" si="181"/>
        <v>12</v>
      </c>
      <c r="E3828" s="2" t="s">
        <v>4</v>
      </c>
      <c r="F3828" s="24">
        <v>4</v>
      </c>
      <c r="G3828" s="24">
        <f>K3835</f>
        <v>9300</v>
      </c>
      <c r="H3828" s="24">
        <f>L3835</f>
        <v>5300</v>
      </c>
      <c r="I3828" s="24">
        <f t="shared" si="185"/>
        <v>10100</v>
      </c>
      <c r="J3828" s="24">
        <f t="shared" si="182"/>
        <v>4500</v>
      </c>
      <c r="K3828" s="24">
        <f t="shared" si="186"/>
        <v>11300</v>
      </c>
      <c r="L3828" s="24">
        <f t="shared" si="187"/>
        <v>4500</v>
      </c>
      <c r="M3828" s="24">
        <f t="shared" si="183"/>
        <v>11300</v>
      </c>
      <c r="N3828" s="24">
        <f t="shared" si="184"/>
        <v>5300</v>
      </c>
      <c r="O3828" s="24">
        <v>0.4</v>
      </c>
      <c r="P3828" s="2">
        <v>0.4</v>
      </c>
    </row>
    <row r="3829" spans="1:16">
      <c r="A3829" s="2"/>
      <c r="B3829" s="2"/>
      <c r="C3829" s="2"/>
      <c r="D3829" s="2">
        <f t="shared" si="181"/>
        <v>12</v>
      </c>
      <c r="E3829" s="2" t="s">
        <v>4</v>
      </c>
      <c r="F3829" s="24">
        <v>4</v>
      </c>
      <c r="G3829" s="24">
        <f>A3821</f>
        <v>300</v>
      </c>
      <c r="H3829" s="24">
        <f>B3821</f>
        <v>10200</v>
      </c>
      <c r="I3829" s="24">
        <f t="shared" si="185"/>
        <v>1100</v>
      </c>
      <c r="J3829" s="24">
        <f t="shared" si="182"/>
        <v>9400</v>
      </c>
      <c r="K3829" s="24">
        <f t="shared" si="186"/>
        <v>2300</v>
      </c>
      <c r="L3829" s="24">
        <f t="shared" si="187"/>
        <v>9400</v>
      </c>
      <c r="M3829" s="24">
        <f t="shared" si="183"/>
        <v>2300</v>
      </c>
      <c r="N3829" s="24">
        <f t="shared" si="184"/>
        <v>10200</v>
      </c>
      <c r="O3829" s="24">
        <v>0.4</v>
      </c>
      <c r="P3829" s="2">
        <v>0.4</v>
      </c>
    </row>
    <row r="3830" spans="1:16">
      <c r="A3830" s="2"/>
      <c r="B3830" s="2"/>
      <c r="C3830" s="2"/>
      <c r="D3830" s="2">
        <f t="shared" si="181"/>
        <v>12</v>
      </c>
      <c r="E3830" s="2" t="s">
        <v>4</v>
      </c>
      <c r="F3830" s="24">
        <v>4</v>
      </c>
      <c r="G3830" s="24">
        <f>K3837</f>
        <v>8100</v>
      </c>
      <c r="H3830" s="24">
        <f>L3837</f>
        <v>8200</v>
      </c>
      <c r="I3830" s="24">
        <f t="shared" si="185"/>
        <v>8900</v>
      </c>
      <c r="J3830" s="24">
        <f t="shared" si="182"/>
        <v>7400</v>
      </c>
      <c r="K3830" s="24">
        <f t="shared" si="186"/>
        <v>10100</v>
      </c>
      <c r="L3830" s="24">
        <f t="shared" si="187"/>
        <v>7400</v>
      </c>
      <c r="M3830" s="24">
        <f t="shared" si="183"/>
        <v>10100</v>
      </c>
      <c r="N3830" s="24">
        <f t="shared" si="184"/>
        <v>8200</v>
      </c>
      <c r="O3830" s="24">
        <v>0.4</v>
      </c>
      <c r="P3830" s="2">
        <v>0.4</v>
      </c>
    </row>
    <row r="3831" spans="1:16">
      <c r="A3831" s="2"/>
      <c r="B3831" s="2"/>
      <c r="C3831" s="2"/>
      <c r="D3831">
        <v>4</v>
      </c>
      <c r="E3831" t="s">
        <v>15</v>
      </c>
      <c r="F3831" s="6">
        <v>3</v>
      </c>
      <c r="G3831" s="24"/>
      <c r="H3831" s="24"/>
      <c r="I3831" s="24"/>
      <c r="J3831" s="24"/>
      <c r="K3831" s="24"/>
      <c r="L3831" s="24"/>
      <c r="M3831" s="24"/>
      <c r="N3831" s="24"/>
      <c r="O3831" s="24"/>
      <c r="P3831" s="2"/>
    </row>
    <row r="3832" spans="1:16">
      <c r="A3832" s="2"/>
      <c r="B3832" s="2"/>
      <c r="C3832" s="2"/>
      <c r="D3832" s="2">
        <f t="shared" ref="D3832:D3837" si="188">F3832*2+4</f>
        <v>12</v>
      </c>
      <c r="E3832" s="2" t="s">
        <v>4</v>
      </c>
      <c r="F3832" s="24">
        <v>4</v>
      </c>
      <c r="G3832" s="24">
        <f>K3825</f>
        <v>2300</v>
      </c>
      <c r="H3832" s="24">
        <f>L3825</f>
        <v>2000</v>
      </c>
      <c r="I3832" s="24">
        <f t="shared" si="185"/>
        <v>3900</v>
      </c>
      <c r="J3832" s="24">
        <f t="shared" ref="J3832:J3837" si="189">L3832</f>
        <v>1600</v>
      </c>
      <c r="K3832" s="24">
        <f t="shared" si="186"/>
        <v>6300</v>
      </c>
      <c r="L3832" s="24">
        <f t="shared" si="187"/>
        <v>1600</v>
      </c>
      <c r="M3832" s="24">
        <f t="shared" ref="M3832:M3837" si="190">K3832</f>
        <v>6300</v>
      </c>
      <c r="N3832" s="24">
        <f t="shared" ref="N3832:N3837" si="191">H3832</f>
        <v>2000</v>
      </c>
      <c r="O3832" s="24">
        <v>0.8</v>
      </c>
      <c r="P3832" s="2">
        <v>0.2</v>
      </c>
    </row>
    <row r="3833" spans="1:16">
      <c r="A3833" s="2"/>
      <c r="B3833" s="2"/>
      <c r="C3833" s="2"/>
      <c r="D3833" s="2">
        <f t="shared" si="188"/>
        <v>12</v>
      </c>
      <c r="E3833" s="2" t="s">
        <v>4</v>
      </c>
      <c r="F3833" s="24">
        <v>4</v>
      </c>
      <c r="G3833" s="24">
        <f>A3815</f>
        <v>7300</v>
      </c>
      <c r="H3833" s="24">
        <f>B3815</f>
        <v>2800</v>
      </c>
      <c r="I3833" s="24">
        <f t="shared" si="185"/>
        <v>8900</v>
      </c>
      <c r="J3833" s="24">
        <f t="shared" si="189"/>
        <v>2400</v>
      </c>
      <c r="K3833" s="24">
        <f t="shared" si="186"/>
        <v>11300</v>
      </c>
      <c r="L3833" s="24">
        <f t="shared" si="187"/>
        <v>2400</v>
      </c>
      <c r="M3833" s="24">
        <f t="shared" si="190"/>
        <v>11300</v>
      </c>
      <c r="N3833" s="24">
        <f t="shared" si="191"/>
        <v>2800</v>
      </c>
      <c r="O3833" s="24">
        <v>0.8</v>
      </c>
      <c r="P3833" s="2">
        <v>0.2</v>
      </c>
    </row>
    <row r="3834" spans="1:16">
      <c r="A3834" s="2"/>
      <c r="B3834" s="2"/>
      <c r="C3834" s="2"/>
      <c r="D3834" s="2">
        <f t="shared" si="188"/>
        <v>12</v>
      </c>
      <c r="E3834" s="2" t="s">
        <v>4</v>
      </c>
      <c r="F3834" s="24">
        <v>4</v>
      </c>
      <c r="G3834" s="24">
        <f>K3827</f>
        <v>2300</v>
      </c>
      <c r="H3834" s="24">
        <f>L3827</f>
        <v>5300</v>
      </c>
      <c r="I3834" s="24">
        <f t="shared" si="185"/>
        <v>3100</v>
      </c>
      <c r="J3834" s="24">
        <f t="shared" si="189"/>
        <v>4500</v>
      </c>
      <c r="K3834" s="24">
        <f t="shared" si="186"/>
        <v>4300</v>
      </c>
      <c r="L3834" s="24">
        <f t="shared" si="187"/>
        <v>4500</v>
      </c>
      <c r="M3834" s="24">
        <f t="shared" si="190"/>
        <v>4300</v>
      </c>
      <c r="N3834" s="24">
        <f t="shared" si="191"/>
        <v>5300</v>
      </c>
      <c r="O3834" s="24">
        <v>0.4</v>
      </c>
      <c r="P3834" s="2">
        <v>0.4</v>
      </c>
    </row>
    <row r="3835" spans="1:16">
      <c r="A3835" s="2"/>
      <c r="B3835" s="2"/>
      <c r="C3835" s="2"/>
      <c r="D3835" s="2">
        <f t="shared" si="188"/>
        <v>12</v>
      </c>
      <c r="E3835" s="2" t="s">
        <v>4</v>
      </c>
      <c r="F3835" s="24">
        <v>4</v>
      </c>
      <c r="G3835" s="24">
        <f>A3819</f>
        <v>7300</v>
      </c>
      <c r="H3835" s="24">
        <f>B3819</f>
        <v>6100</v>
      </c>
      <c r="I3835" s="24">
        <f t="shared" si="185"/>
        <v>8100</v>
      </c>
      <c r="J3835" s="24">
        <f t="shared" si="189"/>
        <v>5300</v>
      </c>
      <c r="K3835" s="24">
        <f t="shared" si="186"/>
        <v>9300</v>
      </c>
      <c r="L3835" s="24">
        <f t="shared" si="187"/>
        <v>5300</v>
      </c>
      <c r="M3835" s="24">
        <f t="shared" si="190"/>
        <v>9300</v>
      </c>
      <c r="N3835" s="24">
        <f t="shared" si="191"/>
        <v>6100</v>
      </c>
      <c r="O3835" s="24">
        <v>0.4</v>
      </c>
      <c r="P3835" s="2">
        <v>0.4</v>
      </c>
    </row>
    <row r="3836" spans="1:16">
      <c r="A3836" s="2"/>
      <c r="B3836" s="2"/>
      <c r="C3836" s="2"/>
      <c r="D3836" s="2">
        <f t="shared" si="188"/>
        <v>12</v>
      </c>
      <c r="E3836" s="2" t="s">
        <v>4</v>
      </c>
      <c r="F3836" s="24">
        <v>4</v>
      </c>
      <c r="G3836" s="24">
        <f>K3829</f>
        <v>2300</v>
      </c>
      <c r="H3836" s="24">
        <f>L3829</f>
        <v>9400</v>
      </c>
      <c r="I3836" s="24">
        <f t="shared" si="185"/>
        <v>2620</v>
      </c>
      <c r="J3836" s="24">
        <f t="shared" si="189"/>
        <v>7400</v>
      </c>
      <c r="K3836" s="24">
        <f t="shared" si="186"/>
        <v>3100</v>
      </c>
      <c r="L3836" s="24">
        <f t="shared" si="187"/>
        <v>7400</v>
      </c>
      <c r="M3836" s="24">
        <f t="shared" si="190"/>
        <v>3100</v>
      </c>
      <c r="N3836" s="24">
        <f t="shared" si="191"/>
        <v>9400</v>
      </c>
      <c r="O3836" s="24">
        <v>0.16</v>
      </c>
      <c r="P3836" s="2">
        <v>1</v>
      </c>
    </row>
    <row r="3837" spans="1:16">
      <c r="D3837" s="2">
        <f t="shared" si="188"/>
        <v>12</v>
      </c>
      <c r="E3837" s="2" t="s">
        <v>4</v>
      </c>
      <c r="F3837" s="24">
        <v>4</v>
      </c>
      <c r="G3837" s="24">
        <f>A3823</f>
        <v>7300</v>
      </c>
      <c r="H3837" s="24">
        <f>B3823</f>
        <v>10200</v>
      </c>
      <c r="I3837" s="24">
        <f t="shared" si="185"/>
        <v>7620</v>
      </c>
      <c r="J3837" s="24">
        <f t="shared" si="189"/>
        <v>8200</v>
      </c>
      <c r="K3837" s="24">
        <f t="shared" si="186"/>
        <v>8100</v>
      </c>
      <c r="L3837" s="24">
        <f t="shared" si="187"/>
        <v>8200</v>
      </c>
      <c r="M3837" s="24">
        <f t="shared" si="190"/>
        <v>8100</v>
      </c>
      <c r="N3837" s="24">
        <f t="shared" si="191"/>
        <v>10200</v>
      </c>
      <c r="O3837" s="24">
        <v>0.16</v>
      </c>
      <c r="P3837" s="2">
        <v>1</v>
      </c>
    </row>
    <row r="3838" spans="1:16">
      <c r="D3838">
        <v>4</v>
      </c>
      <c r="E3838" t="s">
        <v>15</v>
      </c>
      <c r="F3838" s="6">
        <v>4</v>
      </c>
      <c r="G3838" s="24"/>
      <c r="H3838" s="24"/>
      <c r="I3838" s="24"/>
      <c r="J3838" s="24"/>
      <c r="K3838" s="24"/>
      <c r="L3838" s="24"/>
      <c r="M3838" s="24"/>
      <c r="N3838" s="24"/>
      <c r="O3838" s="24"/>
      <c r="P3838" s="2"/>
    </row>
    <row r="3839" spans="1:16">
      <c r="A3839" s="2"/>
      <c r="B3839" s="2"/>
      <c r="C3839" s="2"/>
      <c r="D3839">
        <v>7</v>
      </c>
      <c r="E3839" s="2" t="s">
        <v>5</v>
      </c>
      <c r="F3839" s="6">
        <f>H3832</f>
        <v>2000</v>
      </c>
      <c r="G3839" s="24">
        <f>G3832</f>
        <v>2300</v>
      </c>
      <c r="H3839" s="24">
        <f>H3825</f>
        <v>2800</v>
      </c>
      <c r="I3839" s="24">
        <f>K3832</f>
        <v>6300</v>
      </c>
      <c r="J3839" s="24"/>
      <c r="K3839" s="24"/>
      <c r="L3839" s="24"/>
      <c r="M3839" s="24"/>
      <c r="N3839" s="24"/>
      <c r="O3839" s="24"/>
      <c r="P3839" s="2"/>
    </row>
    <row r="3840" spans="1:16">
      <c r="A3840" s="2"/>
      <c r="B3840" s="2"/>
      <c r="C3840" s="2"/>
      <c r="D3840">
        <v>7</v>
      </c>
      <c r="E3840" s="2" t="s">
        <v>5</v>
      </c>
      <c r="F3840" s="6">
        <f>H3826</f>
        <v>2400</v>
      </c>
      <c r="G3840" s="24">
        <f>G3826</f>
        <v>11300</v>
      </c>
      <c r="H3840" s="24">
        <f>H3833</f>
        <v>2800</v>
      </c>
      <c r="I3840" s="24">
        <f>K3826</f>
        <v>13300</v>
      </c>
      <c r="J3840" s="24"/>
      <c r="K3840" s="24"/>
      <c r="L3840" s="24"/>
      <c r="M3840" s="24"/>
      <c r="N3840" s="24"/>
      <c r="O3840" s="24"/>
      <c r="P3840" s="2"/>
    </row>
    <row r="3841" spans="1:16">
      <c r="A3841" s="2"/>
      <c r="B3841" s="2"/>
      <c r="C3841" s="2"/>
      <c r="D3841">
        <v>7</v>
      </c>
      <c r="E3841" s="2" t="s">
        <v>5</v>
      </c>
      <c r="F3841" s="6">
        <f>H3834</f>
        <v>5300</v>
      </c>
      <c r="G3841" s="24">
        <f>G3834</f>
        <v>2300</v>
      </c>
      <c r="H3841" s="24">
        <f>H3827</f>
        <v>6100</v>
      </c>
      <c r="I3841" s="24">
        <f>K3834</f>
        <v>4300</v>
      </c>
      <c r="J3841" s="24"/>
      <c r="K3841" s="24"/>
      <c r="L3841" s="24"/>
      <c r="M3841" s="24"/>
      <c r="N3841" s="24"/>
      <c r="O3841" s="24"/>
      <c r="P3841" s="2"/>
    </row>
    <row r="3842" spans="1:16">
      <c r="A3842" s="2"/>
      <c r="B3842" s="2"/>
      <c r="C3842" s="2"/>
      <c r="D3842">
        <v>7</v>
      </c>
      <c r="E3842" s="2" t="s">
        <v>5</v>
      </c>
      <c r="F3842" s="6">
        <f>H3828</f>
        <v>5300</v>
      </c>
      <c r="G3842" s="24">
        <f>G3828</f>
        <v>9300</v>
      </c>
      <c r="H3842" s="24">
        <f>H3835</f>
        <v>6100</v>
      </c>
      <c r="I3842" s="24">
        <f>K3828</f>
        <v>11300</v>
      </c>
      <c r="J3842" s="24"/>
      <c r="K3842" s="24"/>
      <c r="L3842" s="24"/>
      <c r="M3842" s="24"/>
      <c r="N3842" s="24"/>
      <c r="O3842" s="24"/>
      <c r="P3842" s="2"/>
    </row>
    <row r="3843" spans="1:16">
      <c r="A3843" s="2"/>
      <c r="B3843" s="2"/>
      <c r="C3843" s="2"/>
      <c r="D3843">
        <v>7</v>
      </c>
      <c r="E3843" s="2" t="s">
        <v>5</v>
      </c>
      <c r="F3843" s="6">
        <f>H3836</f>
        <v>9400</v>
      </c>
      <c r="G3843" s="24">
        <f>G3836</f>
        <v>2300</v>
      </c>
      <c r="H3843" s="24">
        <f>H3829</f>
        <v>10200</v>
      </c>
      <c r="I3843" s="24">
        <f>K3836</f>
        <v>3100</v>
      </c>
      <c r="J3843" s="24"/>
      <c r="K3843" s="24"/>
      <c r="L3843" s="24"/>
      <c r="M3843" s="24"/>
      <c r="N3843" s="24"/>
      <c r="O3843" s="24"/>
      <c r="P3843" s="2"/>
    </row>
    <row r="3844" spans="1:16">
      <c r="A3844" s="2"/>
      <c r="B3844" s="2"/>
      <c r="C3844" s="2"/>
      <c r="D3844">
        <v>7</v>
      </c>
      <c r="E3844" s="2" t="s">
        <v>5</v>
      </c>
      <c r="F3844" s="6">
        <f>H3830</f>
        <v>8200</v>
      </c>
      <c r="G3844" s="24">
        <f>G3830</f>
        <v>8100</v>
      </c>
      <c r="H3844" s="24">
        <f>H3837</f>
        <v>10200</v>
      </c>
      <c r="I3844" s="24">
        <f>K3830</f>
        <v>10100</v>
      </c>
      <c r="J3844" s="24"/>
      <c r="K3844" s="24"/>
      <c r="L3844" s="24"/>
      <c r="M3844" s="24"/>
      <c r="N3844" s="24"/>
      <c r="O3844" s="24"/>
      <c r="P3844" s="2"/>
    </row>
    <row r="3845" spans="1:16">
      <c r="A3845" s="2"/>
      <c r="B3845" s="2"/>
      <c r="C3845" s="2"/>
      <c r="D3845" s="2"/>
      <c r="E3845" s="6" t="s">
        <v>517</v>
      </c>
      <c r="F3845" s="24" t="s">
        <v>527</v>
      </c>
      <c r="G3845" s="24">
        <f>A3813+200</f>
        <v>500</v>
      </c>
      <c r="H3845" s="24">
        <f>B3813-2700</f>
        <v>100</v>
      </c>
      <c r="I3845" s="24">
        <f>B3817-2700</f>
        <v>3400</v>
      </c>
      <c r="J3845" s="24">
        <f>B3821-3700</f>
        <v>6500</v>
      </c>
      <c r="K3845" s="24">
        <f t="shared" ref="K3845:M3846" si="192">H3845+400</f>
        <v>500</v>
      </c>
      <c r="L3845" s="24">
        <f t="shared" si="192"/>
        <v>3800</v>
      </c>
      <c r="M3845" s="24">
        <f t="shared" si="192"/>
        <v>6900</v>
      </c>
      <c r="O3845" s="24"/>
      <c r="P3845" s="2"/>
    </row>
    <row r="3846" spans="1:16">
      <c r="A3846" s="2"/>
      <c r="B3846" s="2"/>
      <c r="C3846" s="2"/>
      <c r="D3846" s="2"/>
      <c r="E3846" s="24" t="s">
        <v>517</v>
      </c>
      <c r="F3846" s="24" t="s">
        <v>528</v>
      </c>
      <c r="G3846" s="24">
        <f>A3815+200</f>
        <v>7500</v>
      </c>
      <c r="H3846" s="24">
        <f>B3815-2700</f>
        <v>100</v>
      </c>
      <c r="I3846" s="24">
        <f>B3819-2700</f>
        <v>3400</v>
      </c>
      <c r="J3846" s="24">
        <f>B3823-3700</f>
        <v>6500</v>
      </c>
      <c r="K3846" s="24">
        <f t="shared" si="192"/>
        <v>500</v>
      </c>
      <c r="L3846" s="24">
        <f t="shared" si="192"/>
        <v>3800</v>
      </c>
      <c r="M3846" s="24">
        <f t="shared" si="192"/>
        <v>6900</v>
      </c>
      <c r="N3846" s="24"/>
      <c r="O3846" s="24"/>
      <c r="P3846" s="2"/>
    </row>
    <row r="3847" spans="1:16">
      <c r="A3847" s="2"/>
      <c r="B3847" s="2"/>
      <c r="C3847" s="2"/>
      <c r="D3847">
        <v>28</v>
      </c>
      <c r="E3847" t="s">
        <v>12</v>
      </c>
      <c r="F3847" s="6">
        <v>360</v>
      </c>
      <c r="G3847" s="6">
        <v>0</v>
      </c>
      <c r="H3847" s="6">
        <v>0</v>
      </c>
      <c r="I3847" s="6">
        <v>0</v>
      </c>
      <c r="J3847" s="6">
        <v>400</v>
      </c>
      <c r="K3847" s="6">
        <v>0</v>
      </c>
      <c r="L3847" s="6">
        <v>0</v>
      </c>
      <c r="M3847" s="6">
        <v>0</v>
      </c>
      <c r="N3847" s="6">
        <v>0</v>
      </c>
      <c r="O3847" s="6" t="s">
        <v>19</v>
      </c>
      <c r="P3847" s="2"/>
    </row>
    <row r="3848" spans="1:16">
      <c r="A3848" s="2"/>
      <c r="B3848" s="2"/>
      <c r="C3848" s="2"/>
      <c r="D3848">
        <v>4</v>
      </c>
      <c r="E3848" t="s">
        <v>15</v>
      </c>
      <c r="F3848" s="6">
        <v>6</v>
      </c>
      <c r="G3848" s="24"/>
      <c r="H3848" s="24"/>
      <c r="I3848" s="24"/>
      <c r="J3848" s="24"/>
      <c r="K3848" s="24"/>
      <c r="L3848" s="24"/>
      <c r="M3848" s="24"/>
      <c r="N3848" s="24"/>
      <c r="O3848" s="24"/>
      <c r="P3848" s="2"/>
    </row>
    <row r="3849" spans="1:16">
      <c r="A3849" s="2"/>
      <c r="B3849" s="2"/>
      <c r="C3849" s="2"/>
      <c r="D3849" s="2">
        <f t="shared" ref="D3849:D3860" si="193">ROUNDUP(6+F3849/2,0)</f>
        <v>12</v>
      </c>
      <c r="E3849" s="2" t="s">
        <v>6</v>
      </c>
      <c r="F3849" s="24">
        <f>LEN(G3849)</f>
        <v>11</v>
      </c>
      <c r="G3849" s="24" t="s">
        <v>490</v>
      </c>
      <c r="H3849" s="24">
        <f t="shared" ref="H3849:H3854" si="194">H3825-400</f>
        <v>2400</v>
      </c>
      <c r="I3849" s="24">
        <f t="shared" ref="I3849:I3854" si="195">G3825+400</f>
        <v>700</v>
      </c>
      <c r="J3849" s="24"/>
      <c r="K3849" s="24"/>
      <c r="L3849" s="24"/>
      <c r="M3849" s="24"/>
      <c r="N3849" s="24"/>
      <c r="O3849" s="24"/>
      <c r="P3849" s="2"/>
    </row>
    <row r="3850" spans="1:16">
      <c r="A3850" s="2"/>
      <c r="B3850" s="2"/>
      <c r="C3850" s="2"/>
      <c r="D3850" s="2">
        <f t="shared" si="193"/>
        <v>12</v>
      </c>
      <c r="E3850" s="2" t="s">
        <v>6</v>
      </c>
      <c r="F3850" s="24">
        <f t="shared" ref="F3850:F3860" si="196">LEN(G3850)</f>
        <v>11</v>
      </c>
      <c r="G3850" s="24" t="s">
        <v>490</v>
      </c>
      <c r="H3850" s="24">
        <f t="shared" si="194"/>
        <v>2000</v>
      </c>
      <c r="I3850" s="24">
        <f t="shared" si="195"/>
        <v>11700</v>
      </c>
      <c r="J3850" s="24"/>
      <c r="K3850" s="24"/>
      <c r="L3850" s="24"/>
      <c r="M3850" s="24"/>
      <c r="N3850" s="24"/>
      <c r="O3850" s="24"/>
      <c r="P3850" s="2"/>
    </row>
    <row r="3851" spans="1:16">
      <c r="A3851" s="2"/>
      <c r="B3851" s="2"/>
      <c r="C3851" s="2"/>
      <c r="D3851" s="2">
        <f t="shared" si="193"/>
        <v>12</v>
      </c>
      <c r="E3851" s="2" t="s">
        <v>6</v>
      </c>
      <c r="F3851" s="24">
        <f t="shared" si="196"/>
        <v>11</v>
      </c>
      <c r="G3851" s="24" t="s">
        <v>490</v>
      </c>
      <c r="H3851" s="24">
        <f t="shared" si="194"/>
        <v>5700</v>
      </c>
      <c r="I3851" s="24">
        <f t="shared" si="195"/>
        <v>700</v>
      </c>
      <c r="J3851" s="24"/>
      <c r="K3851" s="24"/>
      <c r="L3851" s="24"/>
      <c r="M3851" s="24"/>
      <c r="N3851" s="24"/>
      <c r="O3851" s="24"/>
      <c r="P3851" s="2"/>
    </row>
    <row r="3852" spans="1:16">
      <c r="A3852" s="2"/>
      <c r="B3852" s="2"/>
      <c r="C3852" s="2"/>
      <c r="D3852" s="2">
        <f t="shared" si="193"/>
        <v>12</v>
      </c>
      <c r="E3852" s="2" t="s">
        <v>6</v>
      </c>
      <c r="F3852" s="24">
        <f t="shared" si="196"/>
        <v>11</v>
      </c>
      <c r="G3852" s="24" t="s">
        <v>490</v>
      </c>
      <c r="H3852" s="24">
        <f t="shared" si="194"/>
        <v>4900</v>
      </c>
      <c r="I3852" s="24">
        <f t="shared" si="195"/>
        <v>9700</v>
      </c>
      <c r="J3852" s="24"/>
      <c r="K3852" s="24"/>
      <c r="L3852" s="24"/>
      <c r="M3852" s="24"/>
      <c r="N3852" s="24"/>
      <c r="O3852" s="24"/>
      <c r="P3852" s="2"/>
    </row>
    <row r="3853" spans="1:16">
      <c r="A3853" s="2"/>
      <c r="B3853" s="2"/>
      <c r="C3853" s="2"/>
      <c r="D3853" s="2">
        <f t="shared" si="193"/>
        <v>12</v>
      </c>
      <c r="E3853" s="2" t="s">
        <v>6</v>
      </c>
      <c r="F3853" s="24">
        <f t="shared" si="196"/>
        <v>11</v>
      </c>
      <c r="G3853" s="24" t="s">
        <v>490</v>
      </c>
      <c r="H3853" s="24">
        <f t="shared" si="194"/>
        <v>9800</v>
      </c>
      <c r="I3853" s="24">
        <f t="shared" si="195"/>
        <v>700</v>
      </c>
      <c r="J3853" s="24"/>
      <c r="K3853" s="24"/>
      <c r="L3853" s="24"/>
      <c r="M3853" s="24"/>
      <c r="N3853" s="24"/>
      <c r="O3853" s="24"/>
      <c r="P3853" s="2"/>
    </row>
    <row r="3854" spans="1:16">
      <c r="A3854" s="2"/>
      <c r="B3854" s="2"/>
      <c r="C3854" s="2"/>
      <c r="D3854" s="2">
        <f t="shared" si="193"/>
        <v>12</v>
      </c>
      <c r="E3854" s="2" t="s">
        <v>6</v>
      </c>
      <c r="F3854" s="24">
        <f t="shared" si="196"/>
        <v>11</v>
      </c>
      <c r="G3854" s="24" t="s">
        <v>490</v>
      </c>
      <c r="H3854" s="24">
        <f t="shared" si="194"/>
        <v>7800</v>
      </c>
      <c r="I3854" s="24">
        <f t="shared" si="195"/>
        <v>8500</v>
      </c>
      <c r="J3854" s="24"/>
      <c r="K3854" s="24"/>
      <c r="L3854" s="24"/>
      <c r="M3854" s="24"/>
      <c r="N3854" s="24"/>
      <c r="O3854" s="24"/>
      <c r="P3854" s="2"/>
    </row>
    <row r="3855" spans="1:16">
      <c r="A3855" s="2"/>
      <c r="B3855" s="2"/>
      <c r="C3855" s="2"/>
      <c r="D3855" s="2">
        <f t="shared" si="193"/>
        <v>10</v>
      </c>
      <c r="E3855" s="2" t="s">
        <v>6</v>
      </c>
      <c r="F3855" s="24">
        <f t="shared" si="196"/>
        <v>8</v>
      </c>
      <c r="G3855" s="24" t="s">
        <v>491</v>
      </c>
      <c r="H3855" s="24">
        <f>H3849</f>
        <v>2400</v>
      </c>
      <c r="I3855" s="24">
        <f>I3849+2000</f>
        <v>2700</v>
      </c>
      <c r="J3855" s="24"/>
      <c r="K3855" s="24"/>
      <c r="L3855" s="24"/>
      <c r="M3855" s="24"/>
      <c r="N3855" s="24"/>
      <c r="O3855" s="24"/>
      <c r="P3855" s="2"/>
    </row>
    <row r="3856" spans="1:16">
      <c r="A3856" s="2"/>
      <c r="B3856" s="2"/>
      <c r="C3856" s="2"/>
      <c r="D3856" s="2">
        <f t="shared" si="193"/>
        <v>10</v>
      </c>
      <c r="E3856" s="2" t="s">
        <v>6</v>
      </c>
      <c r="F3856" s="24">
        <f t="shared" si="196"/>
        <v>8</v>
      </c>
      <c r="G3856" s="24" t="s">
        <v>491</v>
      </c>
      <c r="H3856" s="24">
        <f>H3850+400</f>
        <v>2400</v>
      </c>
      <c r="I3856" s="24">
        <f>I3850</f>
        <v>11700</v>
      </c>
      <c r="J3856" s="24"/>
      <c r="K3856" s="24"/>
      <c r="L3856" s="24"/>
      <c r="M3856" s="24"/>
      <c r="N3856" s="24"/>
      <c r="O3856" s="24"/>
      <c r="P3856" s="2"/>
    </row>
    <row r="3857" spans="1:16">
      <c r="A3857" s="2"/>
      <c r="B3857" s="2"/>
      <c r="C3857" s="2"/>
      <c r="D3857" s="2">
        <f t="shared" si="193"/>
        <v>10</v>
      </c>
      <c r="E3857" s="2" t="s">
        <v>6</v>
      </c>
      <c r="F3857" s="24">
        <f t="shared" si="196"/>
        <v>8</v>
      </c>
      <c r="G3857" s="24" t="s">
        <v>491</v>
      </c>
      <c r="H3857" s="24">
        <f>H3851</f>
        <v>5700</v>
      </c>
      <c r="I3857" s="24">
        <f>I3851+2000</f>
        <v>2700</v>
      </c>
      <c r="J3857" s="24"/>
      <c r="K3857" s="24"/>
      <c r="L3857" s="24"/>
      <c r="M3857" s="24"/>
      <c r="N3857" s="24"/>
      <c r="O3857" s="24"/>
      <c r="P3857" s="2"/>
    </row>
    <row r="3858" spans="1:16">
      <c r="A3858" s="2"/>
      <c r="B3858" s="2"/>
      <c r="C3858" s="2"/>
      <c r="D3858" s="2">
        <f t="shared" si="193"/>
        <v>10</v>
      </c>
      <c r="E3858" s="2" t="s">
        <v>6</v>
      </c>
      <c r="F3858" s="24">
        <f t="shared" si="196"/>
        <v>8</v>
      </c>
      <c r="G3858" s="24" t="s">
        <v>491</v>
      </c>
      <c r="H3858" s="24">
        <f>H3852+400</f>
        <v>5300</v>
      </c>
      <c r="I3858" s="24">
        <f>I3852</f>
        <v>9700</v>
      </c>
      <c r="J3858" s="24"/>
      <c r="K3858" s="24"/>
      <c r="L3858" s="24"/>
      <c r="M3858" s="24"/>
      <c r="N3858" s="24"/>
      <c r="O3858" s="24"/>
      <c r="P3858" s="2"/>
    </row>
    <row r="3859" spans="1:16">
      <c r="A3859" s="2"/>
      <c r="B3859" s="2"/>
      <c r="C3859" s="2"/>
      <c r="D3859" s="2">
        <f t="shared" si="193"/>
        <v>8</v>
      </c>
      <c r="E3859" s="2" t="s">
        <v>6</v>
      </c>
      <c r="F3859" s="24">
        <f t="shared" si="196"/>
        <v>4</v>
      </c>
      <c r="G3859" s="24" t="s">
        <v>492</v>
      </c>
      <c r="H3859" s="24">
        <f>H3853</f>
        <v>9800</v>
      </c>
      <c r="I3859" s="24">
        <f>I3853+1600</f>
        <v>2300</v>
      </c>
      <c r="J3859" s="24"/>
      <c r="K3859" s="24"/>
      <c r="L3859" s="24"/>
      <c r="M3859" s="24"/>
      <c r="N3859" s="24"/>
      <c r="O3859" s="24"/>
      <c r="P3859" s="2"/>
    </row>
    <row r="3860" spans="1:16">
      <c r="A3860" s="2"/>
      <c r="B3860" s="2"/>
      <c r="C3860" s="2"/>
      <c r="D3860" s="2">
        <f t="shared" si="193"/>
        <v>10</v>
      </c>
      <c r="E3860" s="2" t="s">
        <v>6</v>
      </c>
      <c r="F3860" s="24">
        <f t="shared" si="196"/>
        <v>8</v>
      </c>
      <c r="G3860" s="24" t="s">
        <v>491</v>
      </c>
      <c r="H3860" s="24">
        <f>H3854+400</f>
        <v>8200</v>
      </c>
      <c r="I3860" s="24">
        <f>I3854</f>
        <v>8500</v>
      </c>
      <c r="J3860" s="24"/>
      <c r="K3860" s="24"/>
      <c r="L3860" s="24"/>
      <c r="M3860" s="24"/>
      <c r="N3860" s="24"/>
      <c r="O3860" s="24"/>
      <c r="P3860" s="2"/>
    </row>
    <row r="3862" spans="1:16">
      <c r="A3862" s="48" t="s">
        <v>383</v>
      </c>
      <c r="B3862" s="49" t="s">
        <v>810</v>
      </c>
      <c r="D3862" t="s">
        <v>449</v>
      </c>
      <c r="E3862">
        <v>52695</v>
      </c>
      <c r="F3862" s="6">
        <v>39622</v>
      </c>
      <c r="G3862" s="6">
        <v>0</v>
      </c>
      <c r="H3862" s="6">
        <v>0</v>
      </c>
      <c r="I3862" s="6">
        <v>0</v>
      </c>
      <c r="J3862" s="6">
        <v>14500</v>
      </c>
      <c r="K3862" s="6">
        <v>3500</v>
      </c>
      <c r="L3862" s="6">
        <v>2400</v>
      </c>
      <c r="M3862" s="6">
        <v>0</v>
      </c>
      <c r="N3862" s="6">
        <v>0</v>
      </c>
      <c r="O3862" s="6" t="e">
        <f ca="1">checksummeint(G3862,H3862,I3862,J3862,K3862,L3862,M3862,N3862)</f>
        <v>#NAME?</v>
      </c>
    </row>
    <row r="3863" spans="1:16">
      <c r="A3863" s="1"/>
      <c r="C3863">
        <v>0</v>
      </c>
      <c r="D3863">
        <v>28</v>
      </c>
      <c r="E3863" t="s">
        <v>12</v>
      </c>
      <c r="F3863" s="6">
        <v>450</v>
      </c>
      <c r="G3863" s="6">
        <v>0</v>
      </c>
      <c r="H3863" s="6">
        <v>0</v>
      </c>
      <c r="I3863" s="6">
        <v>0</v>
      </c>
      <c r="J3863" s="6">
        <v>400</v>
      </c>
      <c r="K3863" s="6">
        <v>0</v>
      </c>
      <c r="L3863" s="6">
        <v>0</v>
      </c>
      <c r="M3863" s="6">
        <v>0</v>
      </c>
      <c r="N3863" s="6">
        <v>0</v>
      </c>
      <c r="O3863" s="6" t="s">
        <v>19</v>
      </c>
    </row>
    <row r="3864" spans="1:16">
      <c r="C3864">
        <v>1</v>
      </c>
      <c r="D3864">
        <v>8</v>
      </c>
      <c r="E3864" t="s">
        <v>14</v>
      </c>
      <c r="F3864" s="6">
        <v>0</v>
      </c>
      <c r="G3864" s="6">
        <v>20</v>
      </c>
      <c r="H3864" s="6">
        <v>0</v>
      </c>
      <c r="I3864" s="6">
        <v>0</v>
      </c>
      <c r="J3864" s="6">
        <v>0</v>
      </c>
      <c r="M3864" s="44"/>
    </row>
    <row r="3865" spans="1:16">
      <c r="C3865">
        <v>2</v>
      </c>
      <c r="D3865">
        <v>7</v>
      </c>
      <c r="E3865" t="s">
        <v>11</v>
      </c>
      <c r="F3865" s="6">
        <v>0</v>
      </c>
      <c r="G3865" s="24">
        <v>0</v>
      </c>
      <c r="H3865" s="24">
        <v>0</v>
      </c>
      <c r="I3865" s="6">
        <v>0</v>
      </c>
    </row>
    <row r="3866" spans="1:16">
      <c r="C3866">
        <v>3</v>
      </c>
      <c r="D3866">
        <v>7</v>
      </c>
      <c r="E3866" t="s">
        <v>11</v>
      </c>
      <c r="F3866" s="6">
        <v>0</v>
      </c>
      <c r="G3866" s="24">
        <v>-64</v>
      </c>
      <c r="H3866" s="24">
        <v>192</v>
      </c>
      <c r="I3866" s="6">
        <v>0</v>
      </c>
      <c r="N3866" s="24"/>
    </row>
    <row r="3867" spans="1:16">
      <c r="C3867">
        <v>4</v>
      </c>
      <c r="D3867">
        <v>8</v>
      </c>
      <c r="E3867" t="s">
        <v>14</v>
      </c>
      <c r="F3867" s="6">
        <v>256</v>
      </c>
      <c r="G3867" s="6">
        <v>200</v>
      </c>
      <c r="H3867" s="6">
        <v>0</v>
      </c>
      <c r="I3867" s="6">
        <v>255</v>
      </c>
      <c r="J3867" s="6">
        <v>0</v>
      </c>
      <c r="N3867" s="24"/>
    </row>
    <row r="3868" spans="1:16">
      <c r="A3868" s="1"/>
      <c r="B3868" s="1"/>
      <c r="D3868">
        <v>5</v>
      </c>
      <c r="E3868" t="s">
        <v>59</v>
      </c>
      <c r="F3868" s="6">
        <v>1</v>
      </c>
      <c r="G3868" s="6">
        <v>0</v>
      </c>
    </row>
    <row r="3869" spans="1:16">
      <c r="A3869" s="1"/>
      <c r="B3869" s="1"/>
      <c r="D3869">
        <v>4</v>
      </c>
      <c r="E3869" t="s">
        <v>15</v>
      </c>
      <c r="F3869" s="6">
        <v>0</v>
      </c>
      <c r="N3869" s="31"/>
    </row>
    <row r="3870" spans="1:16">
      <c r="A3870" s="1"/>
      <c r="B3870" s="1"/>
      <c r="D3870">
        <v>4</v>
      </c>
      <c r="E3870" t="s">
        <v>15</v>
      </c>
      <c r="F3870" s="6">
        <v>1</v>
      </c>
      <c r="G3870" s="24"/>
    </row>
    <row r="3871" spans="1:16">
      <c r="A3871" s="2"/>
      <c r="B3871" s="2"/>
      <c r="D3871">
        <v>4</v>
      </c>
      <c r="E3871" t="s">
        <v>15</v>
      </c>
      <c r="F3871" s="6">
        <v>2</v>
      </c>
      <c r="G3871" s="24"/>
      <c r="H3871" s="24"/>
      <c r="I3871" s="24"/>
      <c r="J3871" s="24"/>
      <c r="K3871" s="24"/>
      <c r="L3871" s="36"/>
      <c r="M3871" s="24"/>
      <c r="N3871" s="24"/>
      <c r="O3871" s="24"/>
    </row>
    <row r="3872" spans="1:16">
      <c r="A3872" s="1" t="s">
        <v>2</v>
      </c>
      <c r="B3872" s="1" t="s">
        <v>3</v>
      </c>
      <c r="D3872" s="2">
        <v>18</v>
      </c>
      <c r="E3872" s="2" t="s">
        <v>111</v>
      </c>
      <c r="F3872" s="24">
        <v>250</v>
      </c>
      <c r="G3872" s="24">
        <f>A3873-100</f>
        <v>200</v>
      </c>
      <c r="H3872" s="24">
        <f>B3873</f>
        <v>3200</v>
      </c>
      <c r="I3872" s="24">
        <f>G3872+6000</f>
        <v>6200</v>
      </c>
      <c r="J3872" s="24">
        <f>H3872</f>
        <v>3200</v>
      </c>
      <c r="K3872" s="24"/>
      <c r="L3872" s="24"/>
      <c r="O3872" s="24"/>
    </row>
    <row r="3873" spans="1:19">
      <c r="A3873" s="1">
        <v>300</v>
      </c>
      <c r="B3873" s="1">
        <v>3200</v>
      </c>
      <c r="D3873" s="2">
        <v>18</v>
      </c>
      <c r="E3873" s="2" t="s">
        <v>111</v>
      </c>
      <c r="F3873" s="24">
        <v>250</v>
      </c>
      <c r="G3873" s="24">
        <f>A3873</f>
        <v>300</v>
      </c>
      <c r="H3873" s="24">
        <f>B3873+100</f>
        <v>3300</v>
      </c>
      <c r="I3873" s="24">
        <f>G3873</f>
        <v>300</v>
      </c>
      <c r="J3873" s="24">
        <f>H3873-2700</f>
        <v>600</v>
      </c>
      <c r="K3873" s="24"/>
      <c r="L3873" s="36"/>
      <c r="M3873" s="24"/>
      <c r="N3873" s="24"/>
      <c r="O3873" s="36"/>
      <c r="P3873" s="2"/>
    </row>
    <row r="3874" spans="1:19">
      <c r="A3874" s="2"/>
      <c r="B3874" s="2"/>
      <c r="C3874" s="2"/>
      <c r="D3874" s="2">
        <f>ROUNDUP(6+F3874/2,0)</f>
        <v>16</v>
      </c>
      <c r="E3874" s="2" t="s">
        <v>6</v>
      </c>
      <c r="F3874" s="24">
        <f>LEN(G3874)</f>
        <v>19</v>
      </c>
      <c r="G3874" s="24" t="s">
        <v>498</v>
      </c>
      <c r="H3874" s="24">
        <f>B3873-3100</f>
        <v>100</v>
      </c>
      <c r="I3874" s="24">
        <f>A3873-300</f>
        <v>0</v>
      </c>
      <c r="J3874" s="24"/>
      <c r="M3874" s="24"/>
      <c r="N3874" s="24"/>
      <c r="P3874" s="2"/>
    </row>
    <row r="3875" spans="1:19">
      <c r="D3875" s="2">
        <f>ROUNDUP(6+F3875/2,0)</f>
        <v>7</v>
      </c>
      <c r="E3875" s="2" t="s">
        <v>6</v>
      </c>
      <c r="F3875" s="24">
        <f>LEN(G3875)</f>
        <v>1</v>
      </c>
      <c r="G3875" s="24" t="s">
        <v>405</v>
      </c>
      <c r="H3875" s="24">
        <f>H3874+500</f>
        <v>600</v>
      </c>
      <c r="I3875" s="24">
        <f>I3874+500</f>
        <v>500</v>
      </c>
      <c r="K3875" s="24"/>
      <c r="L3875" s="24"/>
      <c r="M3875" s="24"/>
      <c r="N3875" s="24"/>
      <c r="O3875" s="24"/>
      <c r="P3875" s="2"/>
    </row>
    <row r="3876" spans="1:19">
      <c r="D3876" s="2">
        <v>18</v>
      </c>
      <c r="E3876" s="2" t="s">
        <v>111</v>
      </c>
      <c r="F3876" s="24">
        <v>100</v>
      </c>
      <c r="G3876" s="24">
        <f>I3875+350</f>
        <v>850</v>
      </c>
      <c r="H3876" s="24">
        <f>H3875+225</f>
        <v>825</v>
      </c>
      <c r="I3876" s="24">
        <f>G3876+300</f>
        <v>1150</v>
      </c>
      <c r="J3876" s="24">
        <f>H3876</f>
        <v>825</v>
      </c>
      <c r="K3876" s="24"/>
      <c r="L3876" s="24"/>
      <c r="O3876" s="24"/>
    </row>
    <row r="3877" spans="1:19">
      <c r="A3877" s="1" t="s">
        <v>2</v>
      </c>
      <c r="B3877" s="1" t="s">
        <v>3</v>
      </c>
      <c r="D3877" s="2">
        <v>18</v>
      </c>
      <c r="E3877" s="2" t="s">
        <v>111</v>
      </c>
      <c r="F3877" s="24">
        <v>250</v>
      </c>
      <c r="G3877" s="24">
        <f>A3878-100</f>
        <v>7200</v>
      </c>
      <c r="H3877" s="24">
        <f>B3878</f>
        <v>3200</v>
      </c>
      <c r="I3877" s="24">
        <f>G3877+6000</f>
        <v>13200</v>
      </c>
      <c r="J3877" s="24">
        <f>H3877</f>
        <v>3200</v>
      </c>
      <c r="K3877" s="24"/>
      <c r="L3877" s="24"/>
      <c r="O3877" s="24"/>
    </row>
    <row r="3878" spans="1:19">
      <c r="A3878" s="1">
        <v>7300</v>
      </c>
      <c r="B3878" s="1">
        <v>3200</v>
      </c>
      <c r="D3878" s="2">
        <v>18</v>
      </c>
      <c r="E3878" s="2" t="s">
        <v>111</v>
      </c>
      <c r="F3878" s="24">
        <v>250</v>
      </c>
      <c r="G3878" s="24">
        <f>A3878</f>
        <v>7300</v>
      </c>
      <c r="H3878" s="24">
        <f>B3878+100</f>
        <v>3300</v>
      </c>
      <c r="I3878" s="24">
        <f>G3878</f>
        <v>7300</v>
      </c>
      <c r="J3878" s="24">
        <f>H3878-2700</f>
        <v>600</v>
      </c>
      <c r="K3878" s="24"/>
      <c r="L3878" s="36"/>
      <c r="M3878" s="24"/>
      <c r="N3878" s="24"/>
      <c r="O3878" s="36"/>
      <c r="P3878" s="2"/>
    </row>
    <row r="3879" spans="1:19">
      <c r="A3879" s="2"/>
      <c r="B3879" s="2"/>
      <c r="C3879" s="2"/>
      <c r="D3879" s="2">
        <f>ROUNDUP(6+F3879/2,0)</f>
        <v>16</v>
      </c>
      <c r="E3879" s="2" t="s">
        <v>6</v>
      </c>
      <c r="F3879" s="24">
        <f>LEN(G3879)</f>
        <v>19</v>
      </c>
      <c r="G3879" s="24" t="s">
        <v>498</v>
      </c>
      <c r="H3879" s="24">
        <f>B3878-3100</f>
        <v>100</v>
      </c>
      <c r="I3879" s="24">
        <f>A3878-300</f>
        <v>7000</v>
      </c>
      <c r="J3879" s="24"/>
      <c r="M3879" s="24"/>
      <c r="N3879" s="24"/>
      <c r="P3879" s="2"/>
    </row>
    <row r="3880" spans="1:19">
      <c r="D3880">
        <v>4</v>
      </c>
      <c r="E3880" t="s">
        <v>15</v>
      </c>
      <c r="F3880" s="6">
        <v>3</v>
      </c>
      <c r="G3880" s="24"/>
      <c r="H3880" s="24"/>
      <c r="I3880" s="24"/>
      <c r="J3880" s="24"/>
      <c r="K3880" s="24"/>
      <c r="L3880" s="24"/>
      <c r="M3880" s="24"/>
      <c r="N3880" s="24"/>
      <c r="O3880" s="24"/>
      <c r="P3880" s="2"/>
    </row>
    <row r="3881" spans="1:19">
      <c r="D3881" s="2">
        <f>F3881*2+4</f>
        <v>12</v>
      </c>
      <c r="E3881" s="2" t="s">
        <v>4</v>
      </c>
      <c r="F3881" s="24">
        <v>4</v>
      </c>
      <c r="G3881" s="24">
        <f>A3873</f>
        <v>300</v>
      </c>
      <c r="H3881" s="24">
        <f>B3873</f>
        <v>3200</v>
      </c>
      <c r="I3881" s="24">
        <f>G3881+2000</f>
        <v>2300</v>
      </c>
      <c r="J3881" s="24">
        <f>L3881</f>
        <v>1200</v>
      </c>
      <c r="K3881" s="24">
        <f>G3881+5000</f>
        <v>5300</v>
      </c>
      <c r="L3881" s="24">
        <f>H3881-2000</f>
        <v>1200</v>
      </c>
      <c r="M3881" s="6">
        <f>K3881</f>
        <v>5300</v>
      </c>
      <c r="N3881" s="6">
        <f>H3881</f>
        <v>3200</v>
      </c>
      <c r="O3881" s="24"/>
    </row>
    <row r="3882" spans="1:19">
      <c r="A3882" s="1"/>
      <c r="B3882" s="1"/>
      <c r="D3882">
        <v>4</v>
      </c>
      <c r="E3882" t="s">
        <v>15</v>
      </c>
      <c r="F3882" s="6">
        <v>4</v>
      </c>
      <c r="G3882" s="24"/>
      <c r="H3882" s="24"/>
      <c r="I3882" s="24"/>
      <c r="J3882" s="24"/>
      <c r="K3882" s="24"/>
      <c r="L3882" s="24"/>
      <c r="M3882" s="24"/>
      <c r="N3882" s="24"/>
      <c r="O3882" s="24"/>
      <c r="P3882" s="2"/>
    </row>
    <row r="3883" spans="1:19">
      <c r="A3883" s="2"/>
      <c r="B3883" s="2"/>
      <c r="C3883" s="2"/>
      <c r="D3883" s="2">
        <f>F3883*2+4</f>
        <v>8</v>
      </c>
      <c r="E3883" s="2" t="s">
        <v>1</v>
      </c>
      <c r="F3883" s="24">
        <v>2</v>
      </c>
      <c r="G3883" s="24">
        <f>A3878+500</f>
        <v>7800</v>
      </c>
      <c r="H3883" s="24">
        <f>B3878-300</f>
        <v>2900</v>
      </c>
      <c r="I3883" s="24">
        <f>G3883+4500</f>
        <v>12300</v>
      </c>
      <c r="J3883" s="24">
        <f>H3883-1800</f>
        <v>1100</v>
      </c>
      <c r="K3883" s="24"/>
      <c r="L3883" s="24"/>
      <c r="M3883" s="24"/>
      <c r="N3883" s="24"/>
      <c r="O3883" s="24"/>
    </row>
    <row r="3884" spans="1:19">
      <c r="A3884" s="13"/>
      <c r="B3884" s="14"/>
      <c r="C3884" s="13"/>
      <c r="D3884" s="2">
        <f>F3884*2+4</f>
        <v>8</v>
      </c>
      <c r="E3884" s="2" t="s">
        <v>1</v>
      </c>
      <c r="F3884" s="24">
        <v>2</v>
      </c>
      <c r="G3884" s="24">
        <f>I3883</f>
        <v>12300</v>
      </c>
      <c r="H3884" s="24">
        <f>H3883</f>
        <v>2900</v>
      </c>
      <c r="I3884" s="24">
        <f>G3883</f>
        <v>7800</v>
      </c>
      <c r="J3884" s="6">
        <f>J3883</f>
        <v>1100</v>
      </c>
      <c r="K3884" s="38"/>
      <c r="L3884" s="38"/>
      <c r="M3884" s="38"/>
      <c r="N3884" s="35"/>
      <c r="O3884" s="35"/>
      <c r="P3884" s="14"/>
    </row>
    <row r="3887" spans="1:19">
      <c r="A3887" s="48" t="s">
        <v>383</v>
      </c>
      <c r="B3887" s="2" t="s">
        <v>504</v>
      </c>
      <c r="C3887" s="2"/>
      <c r="D3887" s="2"/>
      <c r="E3887" s="2">
        <v>52695</v>
      </c>
      <c r="F3887" s="24">
        <v>39622</v>
      </c>
      <c r="G3887" s="24">
        <v>0</v>
      </c>
      <c r="H3887" s="24">
        <v>0</v>
      </c>
      <c r="I3887" s="24">
        <v>0</v>
      </c>
      <c r="J3887" s="24">
        <v>6200</v>
      </c>
      <c r="K3887" s="24">
        <v>2000</v>
      </c>
      <c r="L3887" s="24">
        <v>960</v>
      </c>
      <c r="M3887" s="24">
        <v>0</v>
      </c>
      <c r="N3887" s="24">
        <v>0</v>
      </c>
      <c r="O3887" s="24" t="e">
        <f ca="1">checksummeint(G3887,H3887,I3887,J3887,K3887,L3887,M3887,N3887)</f>
        <v>#NAME?</v>
      </c>
      <c r="P3887" s="2"/>
      <c r="Q3887" s="2"/>
      <c r="R3887" s="2"/>
      <c r="S3887" s="2"/>
    </row>
    <row r="3888" spans="1:19">
      <c r="C3888" s="2"/>
      <c r="D3888" s="2">
        <v>28</v>
      </c>
      <c r="E3888" s="2" t="s">
        <v>12</v>
      </c>
      <c r="F3888" s="24">
        <v>180</v>
      </c>
      <c r="G3888" s="24">
        <v>0</v>
      </c>
      <c r="H3888" s="24">
        <v>0</v>
      </c>
      <c r="I3888" s="24">
        <v>0</v>
      </c>
      <c r="J3888" s="24">
        <v>400</v>
      </c>
      <c r="K3888" s="24">
        <v>0</v>
      </c>
      <c r="L3888" s="24">
        <v>0</v>
      </c>
      <c r="M3888" s="24">
        <v>0</v>
      </c>
      <c r="N3888" s="24">
        <v>0</v>
      </c>
      <c r="O3888" s="24" t="s">
        <v>19</v>
      </c>
      <c r="P3888" s="2"/>
      <c r="Q3888" s="2"/>
      <c r="R3888" s="2"/>
      <c r="S3888" s="2"/>
    </row>
    <row r="3889" spans="1:19">
      <c r="C3889" s="2">
        <v>1</v>
      </c>
      <c r="D3889" s="2">
        <v>8</v>
      </c>
      <c r="E3889" s="2" t="s">
        <v>14</v>
      </c>
      <c r="F3889" s="24">
        <v>0</v>
      </c>
      <c r="G3889" s="24">
        <v>8</v>
      </c>
      <c r="H3889" s="24">
        <v>0</v>
      </c>
      <c r="I3889" s="24">
        <v>0</v>
      </c>
      <c r="J3889" s="24">
        <v>0</v>
      </c>
      <c r="K3889" s="24"/>
      <c r="L3889" s="24"/>
      <c r="M3889" s="24"/>
      <c r="N3889" s="24"/>
      <c r="O3889" s="24"/>
      <c r="P3889" s="2"/>
      <c r="Q3889" s="2"/>
      <c r="R3889" s="2"/>
      <c r="S3889" s="2"/>
    </row>
    <row r="3890" spans="1:19">
      <c r="C3890" s="2">
        <f>C3889+1</f>
        <v>2</v>
      </c>
      <c r="D3890" s="2">
        <v>7</v>
      </c>
      <c r="E3890" s="2" t="s">
        <v>11</v>
      </c>
      <c r="F3890" s="24">
        <v>0</v>
      </c>
      <c r="G3890" s="24">
        <f>H3890*257</f>
        <v>65535</v>
      </c>
      <c r="H3890" s="24">
        <v>255</v>
      </c>
      <c r="I3890" s="24"/>
      <c r="J3890" s="24"/>
      <c r="K3890" s="24"/>
      <c r="L3890" s="24"/>
      <c r="M3890" s="24"/>
      <c r="N3890" s="24"/>
      <c r="O3890" s="24"/>
      <c r="P3890" s="2"/>
      <c r="Q3890" s="2"/>
      <c r="R3890" s="2"/>
      <c r="S3890" s="2"/>
    </row>
    <row r="3891" spans="1:19">
      <c r="C3891" s="2">
        <f t="shared" ref="C3891:C3896" si="197">C3890+1</f>
        <v>3</v>
      </c>
      <c r="D3891" s="2">
        <v>7</v>
      </c>
      <c r="E3891" s="2" t="s">
        <v>11</v>
      </c>
      <c r="F3891" s="24">
        <v>0</v>
      </c>
      <c r="G3891" s="24">
        <f>H3891*257</f>
        <v>57568</v>
      </c>
      <c r="H3891" s="24">
        <v>224</v>
      </c>
      <c r="I3891" s="24"/>
      <c r="J3891" s="24"/>
      <c r="K3891" s="24"/>
      <c r="L3891" s="24"/>
      <c r="M3891" s="24"/>
      <c r="N3891" s="24"/>
      <c r="O3891" s="24"/>
      <c r="P3891" s="2"/>
      <c r="Q3891" s="2"/>
      <c r="R3891" s="2"/>
      <c r="S3891" s="2"/>
    </row>
    <row r="3892" spans="1:19">
      <c r="C3892" s="2">
        <f t="shared" si="197"/>
        <v>4</v>
      </c>
      <c r="D3892" s="2">
        <v>7</v>
      </c>
      <c r="E3892" s="2" t="s">
        <v>11</v>
      </c>
      <c r="F3892" s="24">
        <v>0</v>
      </c>
      <c r="G3892" s="24">
        <f>H3892*257</f>
        <v>49344</v>
      </c>
      <c r="H3892" s="24">
        <v>192</v>
      </c>
      <c r="I3892" s="24"/>
      <c r="J3892" s="24"/>
      <c r="K3892" s="24"/>
      <c r="L3892" s="24"/>
      <c r="M3892" s="24"/>
      <c r="N3892" s="24"/>
      <c r="O3892" s="24"/>
      <c r="P3892" s="2"/>
      <c r="Q3892" s="2"/>
      <c r="R3892" s="2"/>
      <c r="S3892" s="2"/>
    </row>
    <row r="3893" spans="1:19">
      <c r="C3893" s="2">
        <f t="shared" si="197"/>
        <v>5</v>
      </c>
      <c r="D3893" s="2">
        <v>7</v>
      </c>
      <c r="E3893" s="2" t="s">
        <v>11</v>
      </c>
      <c r="F3893" s="24">
        <v>0</v>
      </c>
      <c r="G3893" s="24">
        <f>H3893*257</f>
        <v>41120</v>
      </c>
      <c r="H3893" s="6">
        <f>H3892-32</f>
        <v>160</v>
      </c>
      <c r="I3893" s="24"/>
      <c r="J3893" s="24"/>
      <c r="K3893" s="24"/>
      <c r="L3893" s="24"/>
      <c r="M3893" s="24"/>
      <c r="N3893" s="24"/>
      <c r="O3893" s="24"/>
      <c r="P3893" s="2"/>
      <c r="Q3893" s="2"/>
      <c r="R3893" s="2"/>
      <c r="S3893" s="2"/>
    </row>
    <row r="3894" spans="1:19">
      <c r="C3894" s="2">
        <f t="shared" si="197"/>
        <v>6</v>
      </c>
      <c r="D3894" s="2">
        <v>7</v>
      </c>
      <c r="E3894" s="2" t="s">
        <v>11</v>
      </c>
      <c r="F3894" s="24">
        <v>0</v>
      </c>
      <c r="G3894" s="24">
        <f>H3894*257</f>
        <v>24672</v>
      </c>
      <c r="H3894" s="6">
        <f>H3893-64</f>
        <v>96</v>
      </c>
      <c r="I3894" s="24"/>
      <c r="J3894" s="24"/>
      <c r="K3894" s="24"/>
      <c r="L3894" s="24"/>
      <c r="M3894" s="24"/>
      <c r="N3894" s="24"/>
      <c r="O3894" s="24"/>
      <c r="P3894" s="2"/>
      <c r="Q3894" s="2"/>
      <c r="R3894" s="2"/>
      <c r="S3894" s="2"/>
    </row>
    <row r="3895" spans="1:19">
      <c r="C3895" s="2">
        <f t="shared" si="197"/>
        <v>7</v>
      </c>
      <c r="D3895" s="2">
        <v>7</v>
      </c>
      <c r="E3895" s="2" t="s">
        <v>11</v>
      </c>
      <c r="F3895" s="24">
        <v>0</v>
      </c>
      <c r="G3895" s="24">
        <v>0</v>
      </c>
      <c r="H3895" s="24">
        <v>0</v>
      </c>
      <c r="I3895" s="24"/>
      <c r="J3895" s="24"/>
      <c r="K3895" s="24"/>
      <c r="L3895" s="24"/>
      <c r="M3895" s="24"/>
      <c r="N3895" s="24"/>
      <c r="O3895" s="24"/>
      <c r="P3895" s="2"/>
      <c r="Q3895" s="2"/>
      <c r="R3895" s="2"/>
      <c r="S3895" s="2"/>
    </row>
    <row r="3896" spans="1:19">
      <c r="C3896" s="2">
        <f t="shared" si="197"/>
        <v>8</v>
      </c>
      <c r="D3896">
        <v>8</v>
      </c>
      <c r="E3896" t="s">
        <v>14</v>
      </c>
      <c r="F3896" s="6">
        <v>2</v>
      </c>
      <c r="G3896" s="6">
        <f>G3889</f>
        <v>8</v>
      </c>
      <c r="H3896" s="6">
        <v>0</v>
      </c>
      <c r="I3896" s="6">
        <v>0</v>
      </c>
      <c r="J3896" s="6">
        <v>0</v>
      </c>
      <c r="K3896" s="24"/>
      <c r="L3896" s="24"/>
      <c r="M3896" s="24"/>
      <c r="N3896" s="24"/>
      <c r="O3896" s="24"/>
      <c r="P3896" s="2"/>
      <c r="Q3896" s="2"/>
      <c r="R3896" s="2"/>
      <c r="S3896" s="2"/>
    </row>
    <row r="3897" spans="1:19">
      <c r="C3897" s="2">
        <v>9</v>
      </c>
      <c r="D3897" s="2">
        <v>7</v>
      </c>
      <c r="E3897" s="2" t="s">
        <v>11</v>
      </c>
      <c r="F3897" s="24">
        <v>0</v>
      </c>
      <c r="G3897" s="24">
        <f>255*256+H3897</f>
        <v>65520</v>
      </c>
      <c r="H3897" s="24">
        <v>240</v>
      </c>
      <c r="I3897" s="24">
        <v>0</v>
      </c>
      <c r="K3897" s="24"/>
      <c r="L3897" s="24"/>
      <c r="M3897" s="24"/>
      <c r="N3897" s="24"/>
      <c r="O3897" s="24"/>
      <c r="P3897" s="2"/>
      <c r="Q3897" s="2"/>
      <c r="R3897" s="2"/>
      <c r="S3897" s="2"/>
    </row>
    <row r="3898" spans="1:19">
      <c r="C3898" s="2"/>
      <c r="D3898" s="2">
        <v>4</v>
      </c>
      <c r="E3898" s="2" t="s">
        <v>15</v>
      </c>
      <c r="F3898" s="24">
        <v>0</v>
      </c>
      <c r="G3898" s="24"/>
      <c r="H3898" s="24"/>
      <c r="I3898" s="24"/>
      <c r="J3898" s="24"/>
      <c r="K3898" s="24"/>
      <c r="L3898" s="24"/>
      <c r="M3898" s="24"/>
      <c r="N3898" s="24"/>
      <c r="O3898" s="24"/>
      <c r="P3898" s="2"/>
      <c r="Q3898" s="2"/>
      <c r="R3898" s="2"/>
      <c r="S3898" s="2"/>
    </row>
    <row r="3899" spans="1:19">
      <c r="C3899" s="2"/>
      <c r="D3899" s="2">
        <v>4</v>
      </c>
      <c r="E3899" s="2" t="s">
        <v>15</v>
      </c>
      <c r="F3899" s="24">
        <v>1</v>
      </c>
      <c r="G3899" s="24"/>
      <c r="H3899" s="24"/>
      <c r="I3899" s="24"/>
      <c r="J3899" s="24"/>
      <c r="K3899" s="24"/>
      <c r="L3899" s="24"/>
      <c r="M3899" s="24"/>
      <c r="N3899" s="24"/>
      <c r="O3899" s="24"/>
      <c r="P3899" s="2"/>
      <c r="Q3899" s="2"/>
      <c r="R3899" s="2"/>
      <c r="S3899" s="2"/>
    </row>
    <row r="3900" spans="1:19">
      <c r="C3900" s="2"/>
      <c r="D3900" s="2">
        <v>4</v>
      </c>
      <c r="E3900" s="2" t="s">
        <v>15</v>
      </c>
      <c r="F3900" s="24">
        <v>2</v>
      </c>
      <c r="G3900" s="24"/>
      <c r="H3900" s="24"/>
      <c r="I3900" s="24"/>
      <c r="J3900" s="24"/>
      <c r="K3900" s="24"/>
      <c r="L3900" s="24"/>
      <c r="M3900" s="24"/>
      <c r="N3900" s="24"/>
      <c r="O3900" s="24"/>
      <c r="P3900" s="2"/>
      <c r="Q3900" s="2"/>
      <c r="R3900" s="2"/>
      <c r="S3900" s="2"/>
    </row>
    <row r="3901" spans="1:19">
      <c r="C3901" s="2"/>
      <c r="D3901">
        <v>5</v>
      </c>
      <c r="E3901" t="s">
        <v>59</v>
      </c>
      <c r="F3901" s="6">
        <v>1</v>
      </c>
      <c r="G3901" s="6">
        <v>0</v>
      </c>
      <c r="H3901" s="24"/>
      <c r="I3901" s="24"/>
      <c r="J3901" s="24"/>
      <c r="K3901" s="24"/>
      <c r="L3901" s="24"/>
      <c r="M3901" s="24"/>
      <c r="N3901" s="24"/>
      <c r="O3901" s="24"/>
      <c r="P3901" s="2"/>
      <c r="Q3901" s="2"/>
      <c r="R3901" s="2"/>
      <c r="S3901" s="2"/>
    </row>
    <row r="3902" spans="1:19">
      <c r="A3902" t="s">
        <v>506</v>
      </c>
      <c r="B3902" s="2">
        <f>B3903</f>
        <v>750</v>
      </c>
      <c r="C3902" s="2">
        <f>C3903</f>
        <v>1750</v>
      </c>
      <c r="D3902" s="2">
        <f>F3902*2+4</f>
        <v>16</v>
      </c>
      <c r="E3902" s="2" t="s">
        <v>4</v>
      </c>
      <c r="F3902" s="24">
        <v>6</v>
      </c>
      <c r="G3902" s="24">
        <f>B3902</f>
        <v>750</v>
      </c>
      <c r="H3902" s="24">
        <f>B3905</f>
        <v>250</v>
      </c>
      <c r="I3902" s="24">
        <f>C3902</f>
        <v>1750</v>
      </c>
      <c r="J3902" s="24">
        <f>C3905</f>
        <v>250</v>
      </c>
      <c r="K3902" s="24">
        <f>C3903</f>
        <v>1750</v>
      </c>
      <c r="L3902" s="24">
        <f>C3906</f>
        <v>1250</v>
      </c>
      <c r="M3902" s="24">
        <f>B3904</f>
        <v>1250</v>
      </c>
      <c r="N3902" s="24">
        <f>B3907</f>
        <v>1750</v>
      </c>
      <c r="O3902" s="24">
        <f>A3904</f>
        <v>250</v>
      </c>
      <c r="P3902" s="2">
        <f>A3907</f>
        <v>1750</v>
      </c>
      <c r="Q3902" s="2">
        <f>A3903</f>
        <v>250</v>
      </c>
      <c r="R3902" s="2">
        <f>A3906</f>
        <v>750</v>
      </c>
      <c r="S3902" s="2"/>
    </row>
    <row r="3903" spans="1:19">
      <c r="A3903">
        <f>A3904</f>
        <v>250</v>
      </c>
      <c r="B3903" s="4">
        <v>750</v>
      </c>
      <c r="C3903" s="2">
        <f>B3903+1000</f>
        <v>1750</v>
      </c>
      <c r="D3903" s="2">
        <v>4</v>
      </c>
      <c r="E3903" s="2" t="s">
        <v>15</v>
      </c>
      <c r="F3903" s="24">
        <v>3</v>
      </c>
      <c r="G3903" s="24"/>
      <c r="H3903" s="24"/>
      <c r="I3903" s="24"/>
      <c r="J3903" s="24"/>
      <c r="K3903" s="24"/>
      <c r="L3903" s="24"/>
      <c r="M3903" s="24"/>
      <c r="N3903" s="24"/>
      <c r="O3903" s="24"/>
      <c r="P3903" s="2"/>
      <c r="Q3903" s="2"/>
      <c r="R3903" s="2"/>
      <c r="S3903" s="2"/>
    </row>
    <row r="3904" spans="1:19">
      <c r="A3904">
        <f>B3903-500</f>
        <v>250</v>
      </c>
      <c r="B3904">
        <f>A3904+1000</f>
        <v>1250</v>
      </c>
      <c r="C3904" s="2"/>
      <c r="D3904" s="2">
        <f>F3904*2+4</f>
        <v>16</v>
      </c>
      <c r="E3904" s="2" t="s">
        <v>4</v>
      </c>
      <c r="F3904" s="24">
        <v>6</v>
      </c>
      <c r="G3904" s="24">
        <f>B3908</f>
        <v>2750</v>
      </c>
      <c r="H3904" s="24">
        <f>B3911</f>
        <v>250</v>
      </c>
      <c r="I3904" s="24">
        <f>C3908</f>
        <v>3750</v>
      </c>
      <c r="J3904" s="24">
        <f>C3911</f>
        <v>250</v>
      </c>
      <c r="K3904" s="24">
        <f>C3909</f>
        <v>3750</v>
      </c>
      <c r="L3904" s="24">
        <f>C3912</f>
        <v>1250</v>
      </c>
      <c r="M3904" s="24">
        <f>B3910</f>
        <v>3250</v>
      </c>
      <c r="N3904" s="24">
        <f>B3913</f>
        <v>1750</v>
      </c>
      <c r="O3904" s="24">
        <f>A3910</f>
        <v>2250</v>
      </c>
      <c r="P3904" s="2">
        <f>A3913</f>
        <v>1750</v>
      </c>
      <c r="Q3904" s="2">
        <f>A3909</f>
        <v>2250</v>
      </c>
      <c r="R3904" s="2">
        <f>A3912</f>
        <v>750</v>
      </c>
      <c r="S3904" s="2"/>
    </row>
    <row r="3905" spans="1:19">
      <c r="A3905" t="s">
        <v>505</v>
      </c>
      <c r="B3905">
        <f>B3906-1000</f>
        <v>250</v>
      </c>
      <c r="C3905" s="2">
        <f>C3906-1000</f>
        <v>250</v>
      </c>
      <c r="D3905" s="2">
        <f>F3905*2+4</f>
        <v>16</v>
      </c>
      <c r="E3905" s="2" t="s">
        <v>4</v>
      </c>
      <c r="F3905" s="24">
        <v>6</v>
      </c>
      <c r="G3905" s="24">
        <f>G3902</f>
        <v>750</v>
      </c>
      <c r="H3905" s="24">
        <f>H3902+200</f>
        <v>450</v>
      </c>
      <c r="I3905" s="24">
        <f>I3902</f>
        <v>1750</v>
      </c>
      <c r="J3905" s="24">
        <f>J3902+200</f>
        <v>450</v>
      </c>
      <c r="K3905" s="24">
        <f t="shared" ref="K3905:Q3905" si="198">K3902</f>
        <v>1750</v>
      </c>
      <c r="L3905" s="24">
        <f t="shared" si="198"/>
        <v>1250</v>
      </c>
      <c r="M3905" s="24">
        <f t="shared" si="198"/>
        <v>1250</v>
      </c>
      <c r="N3905" s="24">
        <f t="shared" si="198"/>
        <v>1750</v>
      </c>
      <c r="O3905" s="24">
        <f t="shared" si="198"/>
        <v>250</v>
      </c>
      <c r="P3905" s="2">
        <f t="shared" si="198"/>
        <v>1750</v>
      </c>
      <c r="Q3905" s="2">
        <f t="shared" si="198"/>
        <v>250</v>
      </c>
      <c r="R3905" s="2">
        <f>R3902+200</f>
        <v>950</v>
      </c>
      <c r="S3905" s="2"/>
    </row>
    <row r="3906" spans="1:19">
      <c r="A3906">
        <f>A3907-1000</f>
        <v>750</v>
      </c>
      <c r="B3906" s="4">
        <v>1250</v>
      </c>
      <c r="C3906" s="2">
        <f>B3906</f>
        <v>1250</v>
      </c>
      <c r="D3906" s="2">
        <v>4</v>
      </c>
      <c r="E3906" s="2" t="s">
        <v>15</v>
      </c>
      <c r="F3906" s="24">
        <v>4</v>
      </c>
      <c r="G3906" s="24"/>
      <c r="H3906" s="24"/>
      <c r="I3906" s="24"/>
      <c r="J3906" s="24"/>
      <c r="K3906" s="24"/>
      <c r="L3906" s="24"/>
      <c r="M3906" s="24"/>
      <c r="N3906" s="24"/>
      <c r="O3906" s="24"/>
      <c r="P3906" s="2"/>
      <c r="Q3906" s="2"/>
      <c r="R3906" s="2"/>
      <c r="S3906" s="2"/>
    </row>
    <row r="3907" spans="1:19">
      <c r="A3907">
        <f>B3906+500</f>
        <v>1750</v>
      </c>
      <c r="B3907">
        <f>A3907</f>
        <v>1750</v>
      </c>
      <c r="C3907" s="2"/>
      <c r="D3907" s="2">
        <f>F3907*2+4</f>
        <v>16</v>
      </c>
      <c r="E3907" s="2" t="s">
        <v>4</v>
      </c>
      <c r="F3907" s="24">
        <v>6</v>
      </c>
      <c r="G3907" s="24">
        <f>B3914</f>
        <v>4750</v>
      </c>
      <c r="H3907" s="24">
        <f>B3917</f>
        <v>250</v>
      </c>
      <c r="I3907" s="24">
        <f>C3914</f>
        <v>5750</v>
      </c>
      <c r="J3907" s="24">
        <f>C3917</f>
        <v>250</v>
      </c>
      <c r="K3907" s="24">
        <f>C3915</f>
        <v>5750</v>
      </c>
      <c r="L3907" s="24">
        <f>C3918</f>
        <v>1250</v>
      </c>
      <c r="M3907" s="24">
        <f>B3916</f>
        <v>5250</v>
      </c>
      <c r="N3907" s="24">
        <f>B3919</f>
        <v>1750</v>
      </c>
      <c r="O3907" s="24">
        <f>A3916</f>
        <v>4250</v>
      </c>
      <c r="P3907" s="2">
        <f>A3919</f>
        <v>1750</v>
      </c>
      <c r="Q3907" s="2">
        <f>A3915</f>
        <v>4250</v>
      </c>
      <c r="R3907" s="2">
        <f>A3918</f>
        <v>750</v>
      </c>
      <c r="S3907" s="2"/>
    </row>
    <row r="3908" spans="1:19">
      <c r="A3908" s="8" t="s">
        <v>506</v>
      </c>
      <c r="B3908" s="9">
        <f>B3909</f>
        <v>2750</v>
      </c>
      <c r="C3908" s="26">
        <f>C3909</f>
        <v>3750</v>
      </c>
      <c r="D3908" s="2">
        <f>F3908*2+4</f>
        <v>14</v>
      </c>
      <c r="E3908" s="2" t="s">
        <v>4</v>
      </c>
      <c r="F3908" s="24">
        <v>5</v>
      </c>
      <c r="G3908" s="24">
        <f>A3910</f>
        <v>2250</v>
      </c>
      <c r="H3908" s="24">
        <f>A3913</f>
        <v>1750</v>
      </c>
      <c r="I3908" s="24">
        <f>B3910-300</f>
        <v>2950</v>
      </c>
      <c r="J3908" s="24">
        <f>B3913</f>
        <v>1750</v>
      </c>
      <c r="K3908" s="24">
        <f>C3909-300</f>
        <v>3450</v>
      </c>
      <c r="L3908" s="24">
        <f>C3912</f>
        <v>1250</v>
      </c>
      <c r="M3908" s="24">
        <f>B3908</f>
        <v>2750</v>
      </c>
      <c r="N3908" s="24">
        <f>B3911+300</f>
        <v>550</v>
      </c>
      <c r="O3908" s="24">
        <f>A3909</f>
        <v>2250</v>
      </c>
      <c r="P3908" s="2">
        <f>A3912+300</f>
        <v>1050</v>
      </c>
      <c r="Q3908" s="2"/>
      <c r="R3908" s="2"/>
      <c r="S3908" s="2"/>
    </row>
    <row r="3909" spans="1:19">
      <c r="A3909" s="27">
        <f>A3910</f>
        <v>2250</v>
      </c>
      <c r="B3909" s="28">
        <f>B3903+2000</f>
        <v>2750</v>
      </c>
      <c r="C3909" s="29">
        <f>B3909+1000</f>
        <v>3750</v>
      </c>
      <c r="D3909" s="2">
        <f>F3909*2+4</f>
        <v>14</v>
      </c>
      <c r="E3909" s="2" t="s">
        <v>4</v>
      </c>
      <c r="F3909" s="24">
        <v>5</v>
      </c>
      <c r="G3909" s="24">
        <f>A3904</f>
        <v>250</v>
      </c>
      <c r="H3909" s="24">
        <f>A3907</f>
        <v>1750</v>
      </c>
      <c r="I3909" s="24">
        <f>B3904-500</f>
        <v>750</v>
      </c>
      <c r="J3909" s="24">
        <f>B3907</f>
        <v>1750</v>
      </c>
      <c r="K3909" s="24">
        <f>C3903-500</f>
        <v>1250</v>
      </c>
      <c r="L3909" s="24">
        <f>C3906</f>
        <v>1250</v>
      </c>
      <c r="M3909" s="24">
        <f>B3902</f>
        <v>750</v>
      </c>
      <c r="N3909" s="24">
        <f>B3905+500</f>
        <v>750</v>
      </c>
      <c r="O3909" s="24">
        <f>A3903</f>
        <v>250</v>
      </c>
      <c r="P3909" s="2">
        <f>A3906+500</f>
        <v>1250</v>
      </c>
      <c r="Q3909" s="2"/>
      <c r="R3909" s="2"/>
      <c r="S3909" s="2"/>
    </row>
    <row r="3910" spans="1:19">
      <c r="A3910" s="27">
        <f>B3909-500</f>
        <v>2250</v>
      </c>
      <c r="B3910" s="13">
        <f>A3910+1000</f>
        <v>3250</v>
      </c>
      <c r="C3910" s="29"/>
      <c r="D3910" s="2">
        <v>4</v>
      </c>
      <c r="E3910" s="2" t="s">
        <v>15</v>
      </c>
      <c r="F3910" s="24">
        <v>3</v>
      </c>
      <c r="G3910" s="24"/>
      <c r="H3910" s="24"/>
      <c r="I3910" s="24"/>
      <c r="J3910" s="24"/>
      <c r="K3910" s="24"/>
      <c r="L3910" s="24"/>
      <c r="M3910" s="24"/>
      <c r="N3910" s="24"/>
      <c r="O3910" s="24"/>
      <c r="P3910" s="2"/>
      <c r="Q3910" s="2"/>
      <c r="R3910" s="2"/>
      <c r="S3910" s="2"/>
    </row>
    <row r="3911" spans="1:19">
      <c r="A3911" s="27" t="s">
        <v>505</v>
      </c>
      <c r="B3911" s="13">
        <f>B3912-1000</f>
        <v>250</v>
      </c>
      <c r="C3911" s="29">
        <f>C3912-1000</f>
        <v>250</v>
      </c>
      <c r="D3911" s="2">
        <f>F3911*2+4</f>
        <v>14</v>
      </c>
      <c r="E3911" s="2" t="s">
        <v>4</v>
      </c>
      <c r="F3911" s="24">
        <v>5</v>
      </c>
      <c r="G3911" s="24">
        <f>B3914+300</f>
        <v>5050</v>
      </c>
      <c r="H3911" s="24">
        <f>B3917</f>
        <v>250</v>
      </c>
      <c r="I3911" s="24">
        <f>K3911</f>
        <v>5750</v>
      </c>
      <c r="J3911" s="24">
        <f>H3911</f>
        <v>250</v>
      </c>
      <c r="K3911" s="24">
        <f>C3915</f>
        <v>5750</v>
      </c>
      <c r="L3911" s="24">
        <f>C3918-300</f>
        <v>950</v>
      </c>
      <c r="M3911" s="24">
        <f>B3916</f>
        <v>5250</v>
      </c>
      <c r="N3911" s="24">
        <f>B3919-300</f>
        <v>1450</v>
      </c>
      <c r="O3911" s="24">
        <f>A3915+300</f>
        <v>4550</v>
      </c>
      <c r="P3911" s="2">
        <f>A3918</f>
        <v>750</v>
      </c>
      <c r="Q3911" s="2"/>
      <c r="R3911" s="2"/>
      <c r="S3911" s="2"/>
    </row>
    <row r="3912" spans="1:19">
      <c r="A3912" s="27">
        <f>A3913-1000</f>
        <v>750</v>
      </c>
      <c r="B3912" s="28">
        <f>B3906</f>
        <v>1250</v>
      </c>
      <c r="C3912" s="29">
        <f>B3912</f>
        <v>1250</v>
      </c>
      <c r="D3912" s="2">
        <v>4</v>
      </c>
      <c r="E3912" s="2" t="s">
        <v>15</v>
      </c>
      <c r="F3912" s="24">
        <v>5</v>
      </c>
      <c r="G3912" s="24"/>
      <c r="H3912" s="24"/>
      <c r="I3912" s="24"/>
      <c r="J3912" s="24"/>
      <c r="K3912" s="24"/>
      <c r="L3912" s="24"/>
      <c r="M3912" s="24"/>
      <c r="N3912" s="24"/>
      <c r="O3912" s="24"/>
      <c r="P3912" s="2"/>
      <c r="Q3912" s="2"/>
      <c r="R3912" s="2"/>
      <c r="S3912" s="2"/>
    </row>
    <row r="3913" spans="1:19">
      <c r="A3913" s="10">
        <f>B3912+500</f>
        <v>1750</v>
      </c>
      <c r="B3913" s="11">
        <f>A3913</f>
        <v>1750</v>
      </c>
      <c r="C3913" s="30"/>
      <c r="D3913" s="2">
        <f>F3913*2+4</f>
        <v>10</v>
      </c>
      <c r="E3913" s="2" t="s">
        <v>4</v>
      </c>
      <c r="F3913" s="24">
        <v>3</v>
      </c>
      <c r="G3913" s="24">
        <f>B3903+200</f>
        <v>950</v>
      </c>
      <c r="H3913" s="24">
        <f>B3906</f>
        <v>1250</v>
      </c>
      <c r="I3913" s="24">
        <f>B3903</f>
        <v>750</v>
      </c>
      <c r="J3913" s="24">
        <f>B3906-200</f>
        <v>1050</v>
      </c>
      <c r="K3913" s="24">
        <f>B3903-100</f>
        <v>650</v>
      </c>
      <c r="L3913" s="24">
        <f>B3906+100</f>
        <v>1350</v>
      </c>
      <c r="M3913" s="24"/>
      <c r="N3913" s="24"/>
      <c r="O3913" s="24"/>
      <c r="P3913" s="2"/>
      <c r="Q3913" s="2"/>
      <c r="R3913" s="2"/>
      <c r="S3913" s="2"/>
    </row>
    <row r="3914" spans="1:19">
      <c r="A3914" t="s">
        <v>506</v>
      </c>
      <c r="B3914" s="2">
        <f>B3915</f>
        <v>4750</v>
      </c>
      <c r="C3914" s="2">
        <f>C3915</f>
        <v>5750</v>
      </c>
      <c r="D3914" s="2">
        <f>F3914*2+4</f>
        <v>10</v>
      </c>
      <c r="E3914" s="2" t="s">
        <v>4</v>
      </c>
      <c r="F3914" s="24">
        <v>3</v>
      </c>
      <c r="G3914" s="24">
        <f>B3909+400</f>
        <v>3150</v>
      </c>
      <c r="H3914" s="24">
        <f>B3912</f>
        <v>1250</v>
      </c>
      <c r="I3914" s="24">
        <f>B3909</f>
        <v>2750</v>
      </c>
      <c r="J3914" s="24">
        <f>B3912-400</f>
        <v>850</v>
      </c>
      <c r="K3914" s="24">
        <f>B3909-200</f>
        <v>2550</v>
      </c>
      <c r="L3914" s="24">
        <f>B3912+200</f>
        <v>1450</v>
      </c>
      <c r="M3914" s="24"/>
      <c r="N3914" s="24"/>
      <c r="O3914" s="24"/>
      <c r="P3914" s="2"/>
      <c r="Q3914" s="2"/>
      <c r="R3914" s="2"/>
      <c r="S3914" s="2"/>
    </row>
    <row r="3915" spans="1:19">
      <c r="A3915">
        <f>A3916</f>
        <v>4250</v>
      </c>
      <c r="B3915" s="28">
        <f>B3909+2000</f>
        <v>4750</v>
      </c>
      <c r="C3915" s="2">
        <f>B3915+1000</f>
        <v>5750</v>
      </c>
      <c r="D3915" s="2">
        <f>F3915*2+4</f>
        <v>10</v>
      </c>
      <c r="E3915" s="2" t="s">
        <v>4</v>
      </c>
      <c r="F3915" s="24">
        <v>3</v>
      </c>
      <c r="G3915" s="24">
        <f>B3915+370</f>
        <v>5120</v>
      </c>
      <c r="H3915" s="24">
        <f>B3918+70</f>
        <v>1320</v>
      </c>
      <c r="I3915" s="24">
        <f>B3915-70</f>
        <v>4680</v>
      </c>
      <c r="J3915" s="24">
        <f>B3918-370</f>
        <v>880</v>
      </c>
      <c r="K3915" s="24">
        <f>B3915-250</f>
        <v>4500</v>
      </c>
      <c r="L3915" s="24">
        <f>B3918+250</f>
        <v>1500</v>
      </c>
      <c r="M3915" s="24"/>
      <c r="N3915" s="24"/>
      <c r="O3915" s="24"/>
      <c r="P3915" s="2"/>
      <c r="Q3915" s="2"/>
      <c r="R3915" s="2"/>
      <c r="S3915" s="2"/>
    </row>
    <row r="3916" spans="1:19">
      <c r="A3916">
        <f>B3915-500</f>
        <v>4250</v>
      </c>
      <c r="B3916">
        <f>A3916+1000</f>
        <v>5250</v>
      </c>
      <c r="C3916" s="2"/>
      <c r="D3916" s="2">
        <v>4</v>
      </c>
      <c r="E3916" s="2" t="s">
        <v>15</v>
      </c>
      <c r="F3916" s="24">
        <v>8</v>
      </c>
      <c r="G3916" s="24"/>
      <c r="H3916" s="24"/>
      <c r="I3916" s="24"/>
      <c r="J3916" s="24"/>
      <c r="K3916" s="24"/>
      <c r="L3916" s="24"/>
      <c r="M3916" s="24"/>
      <c r="N3916" s="24"/>
      <c r="O3916" s="24"/>
      <c r="P3916" s="2"/>
      <c r="Q3916" s="2"/>
      <c r="R3916" s="2"/>
      <c r="S3916" s="2"/>
    </row>
    <row r="3917" spans="1:19">
      <c r="A3917" t="s">
        <v>505</v>
      </c>
      <c r="B3917">
        <f>B3918-1000</f>
        <v>250</v>
      </c>
      <c r="C3917" s="2">
        <f>C3918-1000</f>
        <v>250</v>
      </c>
      <c r="D3917" s="2">
        <f t="shared" ref="D3917:D3922" si="199">F3917*2+4</f>
        <v>10</v>
      </c>
      <c r="E3917" s="3" t="s">
        <v>1</v>
      </c>
      <c r="F3917" s="24">
        <v>3</v>
      </c>
      <c r="G3917" s="24">
        <f>I3905</f>
        <v>1750</v>
      </c>
      <c r="H3917" s="24">
        <f>J3905</f>
        <v>450</v>
      </c>
      <c r="I3917" s="24">
        <f>G3917-500</f>
        <v>1250</v>
      </c>
      <c r="J3917" s="24">
        <f>H3917+500</f>
        <v>950</v>
      </c>
      <c r="K3917" s="24">
        <f>I3917-1000</f>
        <v>250</v>
      </c>
      <c r="L3917" s="24">
        <f>J3917</f>
        <v>950</v>
      </c>
      <c r="M3917" s="24"/>
      <c r="N3917" s="24"/>
      <c r="O3917" s="24"/>
      <c r="P3917" s="2"/>
      <c r="Q3917" s="2"/>
      <c r="R3917" s="2"/>
      <c r="S3917" s="2"/>
    </row>
    <row r="3918" spans="1:19">
      <c r="A3918">
        <f>A3919-1000</f>
        <v>750</v>
      </c>
      <c r="B3918" s="28">
        <f>B3912</f>
        <v>1250</v>
      </c>
      <c r="C3918" s="2">
        <f>B3918</f>
        <v>1250</v>
      </c>
      <c r="D3918" s="2">
        <f t="shared" si="199"/>
        <v>10</v>
      </c>
      <c r="E3918" s="3" t="s">
        <v>1</v>
      </c>
      <c r="F3918" s="24">
        <v>3</v>
      </c>
      <c r="G3918" s="24">
        <f>M3911</f>
        <v>5250</v>
      </c>
      <c r="H3918" s="24">
        <f>N3911</f>
        <v>1450</v>
      </c>
      <c r="I3918" s="24">
        <f>G3918</f>
        <v>5250</v>
      </c>
      <c r="J3918" s="24">
        <f>L3918</f>
        <v>750</v>
      </c>
      <c r="K3918" s="24">
        <f>O3911</f>
        <v>4550</v>
      </c>
      <c r="L3918" s="24">
        <f>P3911</f>
        <v>750</v>
      </c>
      <c r="M3918" s="24"/>
      <c r="N3918" s="24"/>
      <c r="O3918" s="24"/>
      <c r="P3918" s="2"/>
      <c r="Q3918" s="2"/>
      <c r="R3918" s="2"/>
      <c r="S3918" s="2"/>
    </row>
    <row r="3919" spans="1:19">
      <c r="A3919">
        <f>B3918+500</f>
        <v>1750</v>
      </c>
      <c r="B3919">
        <f>A3919</f>
        <v>1750</v>
      </c>
      <c r="C3919" s="2"/>
      <c r="D3919" s="2">
        <f t="shared" si="199"/>
        <v>8</v>
      </c>
      <c r="E3919" s="3" t="s">
        <v>1</v>
      </c>
      <c r="F3919" s="24">
        <v>2</v>
      </c>
      <c r="G3919" s="24">
        <f>B3914+300</f>
        <v>5050</v>
      </c>
      <c r="H3919" s="24">
        <f>B3917</f>
        <v>250</v>
      </c>
      <c r="I3919" s="24">
        <f>C3915</f>
        <v>5750</v>
      </c>
      <c r="J3919" s="24">
        <f>C3918-300</f>
        <v>950</v>
      </c>
      <c r="K3919" s="24"/>
      <c r="L3919" s="24"/>
      <c r="M3919" s="24"/>
      <c r="N3919" s="24"/>
      <c r="O3919" s="24"/>
      <c r="P3919" s="2"/>
      <c r="Q3919" s="2"/>
      <c r="R3919" s="2"/>
      <c r="S3919" s="2"/>
    </row>
    <row r="3920" spans="1:19">
      <c r="C3920" s="2"/>
      <c r="D3920" s="2">
        <f t="shared" si="199"/>
        <v>8</v>
      </c>
      <c r="E3920" s="3" t="s">
        <v>1</v>
      </c>
      <c r="F3920" s="24">
        <v>2</v>
      </c>
      <c r="G3920" s="24">
        <f>I3918</f>
        <v>5250</v>
      </c>
      <c r="H3920" s="24">
        <f>J3918</f>
        <v>750</v>
      </c>
      <c r="I3920" s="24">
        <f>G3920+500</f>
        <v>5750</v>
      </c>
      <c r="J3920" s="24">
        <f>H3920-500</f>
        <v>250</v>
      </c>
      <c r="K3920" s="24"/>
      <c r="L3920" s="24"/>
      <c r="M3920" s="24"/>
      <c r="N3920" s="24"/>
      <c r="O3920" s="24"/>
      <c r="P3920" s="2"/>
      <c r="Q3920" s="2"/>
      <c r="R3920" s="2"/>
      <c r="S3920" s="2"/>
    </row>
    <row r="3921" spans="3:19">
      <c r="C3921" s="2"/>
      <c r="D3921" s="2">
        <f t="shared" si="199"/>
        <v>8</v>
      </c>
      <c r="E3921" s="3" t="s">
        <v>1</v>
      </c>
      <c r="F3921" s="24">
        <v>2</v>
      </c>
      <c r="G3921" s="24">
        <f>I3908</f>
        <v>2950</v>
      </c>
      <c r="H3921" s="24">
        <f>J3908</f>
        <v>1750</v>
      </c>
      <c r="I3921" s="24">
        <f>O3908</f>
        <v>2250</v>
      </c>
      <c r="J3921" s="24">
        <f>P3908</f>
        <v>1050</v>
      </c>
      <c r="K3921" s="24"/>
      <c r="L3921" s="24"/>
      <c r="M3921" s="24"/>
      <c r="N3921" s="24"/>
      <c r="O3921" s="24"/>
      <c r="P3921" s="2"/>
      <c r="Q3921" s="2"/>
      <c r="R3921" s="2"/>
      <c r="S3921" s="2"/>
    </row>
    <row r="3922" spans="3:19">
      <c r="C3922" s="2"/>
      <c r="D3922" s="2">
        <f t="shared" si="199"/>
        <v>8</v>
      </c>
      <c r="E3922" s="3" t="s">
        <v>1</v>
      </c>
      <c r="F3922" s="24">
        <v>2</v>
      </c>
      <c r="G3922" s="24">
        <f>I3909</f>
        <v>750</v>
      </c>
      <c r="H3922" s="24">
        <f>J3909</f>
        <v>1750</v>
      </c>
      <c r="I3922" s="24">
        <f>O3909</f>
        <v>250</v>
      </c>
      <c r="J3922" s="24">
        <f>P3909</f>
        <v>1250</v>
      </c>
      <c r="K3922" s="24"/>
      <c r="L3922" s="24"/>
      <c r="M3922" s="24"/>
      <c r="N3922" s="24"/>
      <c r="O3922" s="24"/>
      <c r="P3922" s="2"/>
      <c r="Q3922" s="2"/>
      <c r="R3922" s="2"/>
      <c r="S3922" s="2"/>
    </row>
    <row r="3923" spans="3:19">
      <c r="C3923" s="2"/>
      <c r="D3923" s="2">
        <v>4</v>
      </c>
      <c r="E3923" s="2" t="s">
        <v>15</v>
      </c>
      <c r="F3923" s="24">
        <v>1</v>
      </c>
      <c r="G3923" s="24"/>
      <c r="H3923" s="24"/>
      <c r="I3923" s="24"/>
      <c r="J3923" s="24"/>
      <c r="K3923" s="24"/>
      <c r="L3923" s="24"/>
      <c r="M3923" s="24"/>
      <c r="N3923" s="24"/>
      <c r="O3923" s="24"/>
      <c r="P3923" s="2"/>
      <c r="Q3923" s="2"/>
      <c r="R3923" s="2"/>
      <c r="S3923" s="2"/>
    </row>
    <row r="3924" spans="3:19">
      <c r="C3924" s="2"/>
      <c r="D3924" s="2">
        <v>4</v>
      </c>
      <c r="E3924" s="2" t="s">
        <v>15</v>
      </c>
      <c r="F3924" s="24">
        <v>6</v>
      </c>
      <c r="G3924" s="24"/>
      <c r="H3924" s="24"/>
      <c r="I3924" s="24"/>
      <c r="J3924" s="24"/>
      <c r="K3924" s="24"/>
      <c r="L3924" s="24"/>
      <c r="M3924" s="24"/>
      <c r="N3924" s="24"/>
      <c r="O3924" s="24"/>
      <c r="P3924" s="2"/>
      <c r="Q3924" s="2"/>
      <c r="R3924" s="2"/>
      <c r="S3924" s="2"/>
    </row>
    <row r="3925" spans="3:19">
      <c r="C3925" s="2"/>
      <c r="D3925" s="2">
        <f>F3925*2+4</f>
        <v>10</v>
      </c>
      <c r="E3925" s="2" t="s">
        <v>4</v>
      </c>
      <c r="F3925" s="24">
        <v>3</v>
      </c>
      <c r="G3925" s="24">
        <f>B3903+80</f>
        <v>830</v>
      </c>
      <c r="H3925" s="24">
        <f>B3906</f>
        <v>1250</v>
      </c>
      <c r="I3925" s="24">
        <f>B3903</f>
        <v>750</v>
      </c>
      <c r="J3925" s="24">
        <f>B3906-80</f>
        <v>1170</v>
      </c>
      <c r="K3925" s="24">
        <f>B3903-40</f>
        <v>710</v>
      </c>
      <c r="L3925" s="24">
        <f>B3906+40</f>
        <v>1290</v>
      </c>
      <c r="M3925" s="24"/>
      <c r="N3925" s="24"/>
      <c r="O3925" s="24"/>
      <c r="P3925" s="2"/>
      <c r="Q3925" s="2"/>
      <c r="R3925" s="2"/>
      <c r="S3925" s="2"/>
    </row>
    <row r="3926" spans="3:19">
      <c r="C3926" s="2"/>
      <c r="D3926" s="2">
        <f>F3926*2+4</f>
        <v>10</v>
      </c>
      <c r="E3926" s="2" t="s">
        <v>4</v>
      </c>
      <c r="F3926" s="24">
        <v>3</v>
      </c>
      <c r="G3926" s="24">
        <f>B3909+80</f>
        <v>2830</v>
      </c>
      <c r="H3926" s="24">
        <f>B3912</f>
        <v>1250</v>
      </c>
      <c r="I3926" s="24">
        <f>B3909</f>
        <v>2750</v>
      </c>
      <c r="J3926" s="24">
        <f>B3912-80</f>
        <v>1170</v>
      </c>
      <c r="K3926" s="24">
        <f>B3909-40</f>
        <v>2710</v>
      </c>
      <c r="L3926" s="24">
        <f>B3912+40</f>
        <v>1290</v>
      </c>
      <c r="M3926" s="24"/>
      <c r="N3926" s="24"/>
      <c r="O3926" s="24"/>
      <c r="P3926" s="2"/>
      <c r="Q3926" s="2"/>
      <c r="R3926" s="2"/>
      <c r="S3926" s="2"/>
    </row>
    <row r="3927" spans="3:19">
      <c r="C3927" s="2"/>
      <c r="D3927" s="2">
        <f>F3927*2+4</f>
        <v>10</v>
      </c>
      <c r="E3927" s="2" t="s">
        <v>4</v>
      </c>
      <c r="F3927" s="24">
        <v>3</v>
      </c>
      <c r="G3927" s="24">
        <f>B3915+80</f>
        <v>4830</v>
      </c>
      <c r="H3927" s="24">
        <f>B3918</f>
        <v>1250</v>
      </c>
      <c r="I3927" s="24">
        <f>B3915</f>
        <v>4750</v>
      </c>
      <c r="J3927" s="24">
        <f>B3918-80</f>
        <v>1170</v>
      </c>
      <c r="K3927" s="24">
        <f>B3915-40</f>
        <v>4710</v>
      </c>
      <c r="L3927" s="24">
        <f>B3918+40</f>
        <v>1290</v>
      </c>
      <c r="M3927" s="24"/>
      <c r="N3927" s="24"/>
      <c r="O3927" s="24"/>
      <c r="P3927" s="2"/>
      <c r="Q3927" s="2"/>
      <c r="R3927" s="2"/>
      <c r="S3927" s="2"/>
    </row>
    <row r="3928" spans="3:19">
      <c r="C3928" s="2"/>
      <c r="D3928" s="2">
        <v>4</v>
      </c>
      <c r="E3928" s="2" t="s">
        <v>15</v>
      </c>
      <c r="F3928" s="24">
        <v>7</v>
      </c>
      <c r="G3928" s="24"/>
      <c r="H3928" s="24"/>
      <c r="I3928" s="24"/>
      <c r="J3928" s="24"/>
      <c r="K3928" s="24"/>
      <c r="L3928" s="24"/>
      <c r="M3928" s="24"/>
      <c r="N3928" s="24"/>
      <c r="O3928" s="24"/>
      <c r="P3928" s="2"/>
      <c r="Q3928" s="2"/>
      <c r="R3928" s="2"/>
      <c r="S3928" s="2"/>
    </row>
    <row r="3929" spans="3:19">
      <c r="C3929" s="2"/>
      <c r="D3929" s="2">
        <v>18</v>
      </c>
      <c r="E3929" s="2" t="s">
        <v>111</v>
      </c>
      <c r="F3929" s="24">
        <v>100</v>
      </c>
      <c r="G3929" s="24">
        <f>B3903</f>
        <v>750</v>
      </c>
      <c r="H3929" s="24">
        <f>B3906</f>
        <v>1250</v>
      </c>
      <c r="I3929" s="24">
        <f>G3929+1200</f>
        <v>1950</v>
      </c>
      <c r="J3929" s="24">
        <f>H3929</f>
        <v>1250</v>
      </c>
      <c r="K3929" s="24"/>
      <c r="L3929" s="24"/>
      <c r="M3929" s="24"/>
      <c r="N3929" s="24"/>
      <c r="O3929" s="24"/>
      <c r="P3929" s="2"/>
      <c r="Q3929" s="2"/>
      <c r="R3929" s="2"/>
      <c r="S3929" s="2"/>
    </row>
    <row r="3930" spans="3:19">
      <c r="C3930" s="2"/>
      <c r="D3930" s="2">
        <v>18</v>
      </c>
      <c r="E3930" s="2" t="s">
        <v>111</v>
      </c>
      <c r="F3930" s="24">
        <v>100</v>
      </c>
      <c r="G3930" s="24">
        <f>G3929</f>
        <v>750</v>
      </c>
      <c r="H3930" s="24">
        <f>H3929</f>
        <v>1250</v>
      </c>
      <c r="I3930" s="24">
        <f>G3930</f>
        <v>750</v>
      </c>
      <c r="J3930" s="24">
        <f>H3930-1200</f>
        <v>50</v>
      </c>
      <c r="K3930" s="24"/>
      <c r="L3930" s="24"/>
      <c r="M3930" s="24"/>
      <c r="N3930" s="24"/>
      <c r="O3930" s="24"/>
      <c r="P3930" s="2"/>
      <c r="Q3930" s="2"/>
      <c r="R3930" s="2"/>
      <c r="S3930" s="2"/>
    </row>
    <row r="3931" spans="3:19">
      <c r="C3931" s="2"/>
      <c r="D3931" s="2">
        <v>18</v>
      </c>
      <c r="E3931" s="2" t="s">
        <v>111</v>
      </c>
      <c r="F3931" s="24">
        <v>100</v>
      </c>
      <c r="G3931" s="24">
        <f>G3930</f>
        <v>750</v>
      </c>
      <c r="H3931" s="24">
        <f>H3930</f>
        <v>1250</v>
      </c>
      <c r="I3931" s="24">
        <f>G3931-700</f>
        <v>50</v>
      </c>
      <c r="J3931" s="24">
        <f>H3931+700</f>
        <v>1950</v>
      </c>
      <c r="K3931" s="24"/>
      <c r="L3931" s="24"/>
      <c r="M3931" s="24"/>
      <c r="N3931" s="24"/>
      <c r="O3931" s="24"/>
      <c r="P3931" s="2"/>
      <c r="Q3931" s="2"/>
      <c r="R3931" s="2"/>
      <c r="S3931" s="2"/>
    </row>
    <row r="3932" spans="3:19">
      <c r="C3932" s="2"/>
      <c r="D3932" s="2"/>
      <c r="E3932" s="2" t="s">
        <v>515</v>
      </c>
      <c r="F3932" s="24" t="s">
        <v>520</v>
      </c>
      <c r="G3932" s="24">
        <f>I3929+10</f>
        <v>1960</v>
      </c>
      <c r="H3932" s="24">
        <f>J3929-80</f>
        <v>1170</v>
      </c>
      <c r="I3932" s="24">
        <f>I3935+10</f>
        <v>3960</v>
      </c>
      <c r="J3932" s="24">
        <f>I3938+10</f>
        <v>5960</v>
      </c>
      <c r="L3932" s="24"/>
      <c r="M3932" s="24"/>
      <c r="N3932" s="24"/>
      <c r="O3932" s="24"/>
      <c r="P3932" s="2"/>
      <c r="Q3932" s="2"/>
      <c r="R3932" s="2"/>
      <c r="S3932" s="2"/>
    </row>
    <row r="3933" spans="3:19">
      <c r="C3933" s="2"/>
      <c r="D3933" s="2"/>
      <c r="E3933" s="2" t="s">
        <v>515</v>
      </c>
      <c r="F3933" s="24" t="s">
        <v>610</v>
      </c>
      <c r="G3933" s="24">
        <f>I3930+70</f>
        <v>820</v>
      </c>
      <c r="H3933" s="24">
        <f>J3930-20</f>
        <v>30</v>
      </c>
      <c r="I3933" s="24">
        <f>I3936+70</f>
        <v>2820</v>
      </c>
      <c r="J3933" s="24">
        <f>I3939+70</f>
        <v>4820</v>
      </c>
      <c r="K3933" s="24">
        <f>G3933-300</f>
        <v>520</v>
      </c>
      <c r="L3933" s="24">
        <f>I3933-300</f>
        <v>2520</v>
      </c>
      <c r="M3933" s="24">
        <f>J3933-300</f>
        <v>4520</v>
      </c>
      <c r="N3933" s="24"/>
      <c r="O3933" s="24"/>
      <c r="P3933" s="2"/>
      <c r="Q3933" s="2"/>
      <c r="R3933" s="2"/>
      <c r="S3933" s="2"/>
    </row>
    <row r="3934" spans="3:19">
      <c r="C3934" s="2"/>
      <c r="D3934" s="2"/>
      <c r="E3934" s="2" t="s">
        <v>515</v>
      </c>
      <c r="F3934" s="24" t="s">
        <v>521</v>
      </c>
      <c r="G3934" s="24">
        <f>I3931+150</f>
        <v>200</v>
      </c>
      <c r="H3934" s="24">
        <f>J3931-120</f>
        <v>1830</v>
      </c>
      <c r="I3934" s="24">
        <f>I3937+150</f>
        <v>2200</v>
      </c>
      <c r="J3934" s="24">
        <f>I3940+150</f>
        <v>4200</v>
      </c>
      <c r="L3934" s="24"/>
      <c r="M3934" s="24"/>
      <c r="N3934" s="24"/>
      <c r="O3934" s="24"/>
      <c r="P3934" s="2"/>
      <c r="Q3934" s="2"/>
      <c r="R3934" s="2"/>
      <c r="S3934" s="2"/>
    </row>
    <row r="3935" spans="3:19">
      <c r="C3935" s="2"/>
      <c r="D3935" s="2">
        <v>18</v>
      </c>
      <c r="E3935" s="2" t="s">
        <v>111</v>
      </c>
      <c r="F3935" s="24">
        <v>100</v>
      </c>
      <c r="G3935" s="24">
        <f>B3909</f>
        <v>2750</v>
      </c>
      <c r="H3935" s="24">
        <f>B3912</f>
        <v>1250</v>
      </c>
      <c r="I3935" s="24">
        <f>G3935+1200</f>
        <v>3950</v>
      </c>
      <c r="J3935" s="24">
        <f>H3935</f>
        <v>1250</v>
      </c>
      <c r="K3935" s="24"/>
      <c r="L3935" s="24"/>
      <c r="M3935" s="24"/>
      <c r="N3935" s="24"/>
      <c r="O3935" s="24"/>
      <c r="P3935" s="2"/>
      <c r="Q3935" s="2"/>
      <c r="R3935" s="2"/>
      <c r="S3935" s="2"/>
    </row>
    <row r="3936" spans="3:19">
      <c r="C3936" s="2"/>
      <c r="D3936" s="2">
        <v>18</v>
      </c>
      <c r="E3936" s="2" t="s">
        <v>111</v>
      </c>
      <c r="F3936" s="24">
        <v>100</v>
      </c>
      <c r="G3936" s="24">
        <f>G3935</f>
        <v>2750</v>
      </c>
      <c r="H3936" s="24">
        <f>H3935</f>
        <v>1250</v>
      </c>
      <c r="I3936" s="24">
        <f>G3936</f>
        <v>2750</v>
      </c>
      <c r="J3936" s="24">
        <f>H3936-1200</f>
        <v>50</v>
      </c>
      <c r="K3936" s="24"/>
      <c r="L3936" s="24"/>
      <c r="M3936" s="24"/>
      <c r="N3936" s="24"/>
      <c r="O3936" s="24"/>
      <c r="P3936" s="2"/>
      <c r="Q3936" s="2"/>
      <c r="R3936" s="2"/>
      <c r="S3936" s="2"/>
    </row>
    <row r="3937" spans="1:19">
      <c r="C3937" s="2"/>
      <c r="D3937" s="2">
        <v>18</v>
      </c>
      <c r="E3937" s="2" t="s">
        <v>111</v>
      </c>
      <c r="F3937" s="24">
        <v>100</v>
      </c>
      <c r="G3937" s="24">
        <f>G3936</f>
        <v>2750</v>
      </c>
      <c r="H3937" s="24">
        <f>H3936</f>
        <v>1250</v>
      </c>
      <c r="I3937" s="24">
        <f>G3937-700</f>
        <v>2050</v>
      </c>
      <c r="J3937" s="24">
        <f>H3937+700</f>
        <v>1950</v>
      </c>
      <c r="K3937" s="24"/>
      <c r="L3937" s="24"/>
      <c r="M3937" s="24"/>
      <c r="N3937" s="24"/>
      <c r="O3937" s="24"/>
      <c r="P3937" s="2"/>
      <c r="Q3937" s="2"/>
      <c r="R3937" s="2"/>
      <c r="S3937" s="2"/>
    </row>
    <row r="3938" spans="1:19">
      <c r="C3938" s="2"/>
      <c r="D3938" s="2">
        <v>18</v>
      </c>
      <c r="E3938" s="2" t="s">
        <v>111</v>
      </c>
      <c r="F3938" s="24">
        <v>100</v>
      </c>
      <c r="G3938" s="24">
        <f>B3915</f>
        <v>4750</v>
      </c>
      <c r="H3938" s="24">
        <f>B3918</f>
        <v>1250</v>
      </c>
      <c r="I3938" s="24">
        <f>G3938+1200</f>
        <v>5950</v>
      </c>
      <c r="J3938" s="24">
        <f>H3938</f>
        <v>1250</v>
      </c>
      <c r="K3938" s="24"/>
      <c r="L3938" s="24"/>
      <c r="M3938" s="24"/>
      <c r="N3938" s="24"/>
      <c r="O3938" s="24"/>
      <c r="P3938" s="2"/>
      <c r="Q3938" s="2"/>
      <c r="R3938" s="2"/>
      <c r="S3938" s="2"/>
    </row>
    <row r="3939" spans="1:19">
      <c r="C3939" s="2"/>
      <c r="D3939" s="2">
        <v>18</v>
      </c>
      <c r="E3939" s="2" t="s">
        <v>111</v>
      </c>
      <c r="F3939" s="24">
        <v>100</v>
      </c>
      <c r="G3939" s="24">
        <f>G3938</f>
        <v>4750</v>
      </c>
      <c r="H3939" s="24">
        <f>H3938</f>
        <v>1250</v>
      </c>
      <c r="I3939" s="24">
        <f>G3939</f>
        <v>4750</v>
      </c>
      <c r="J3939" s="24">
        <f>H3939-1200</f>
        <v>50</v>
      </c>
      <c r="K3939" s="24"/>
      <c r="L3939" s="24"/>
      <c r="M3939" s="24"/>
      <c r="N3939" s="24"/>
      <c r="O3939" s="24"/>
      <c r="P3939" s="2"/>
      <c r="Q3939" s="2"/>
      <c r="R3939" s="2"/>
      <c r="S3939" s="2"/>
    </row>
    <row r="3940" spans="1:19">
      <c r="C3940" s="2"/>
      <c r="D3940" s="2">
        <v>18</v>
      </c>
      <c r="E3940" s="2" t="s">
        <v>111</v>
      </c>
      <c r="F3940" s="24">
        <v>100</v>
      </c>
      <c r="G3940" s="24">
        <f>G3939</f>
        <v>4750</v>
      </c>
      <c r="H3940" s="24">
        <f>H3939</f>
        <v>1250</v>
      </c>
      <c r="I3940" s="24">
        <f>G3940-700</f>
        <v>4050</v>
      </c>
      <c r="J3940" s="24">
        <f>H3940+700</f>
        <v>1950</v>
      </c>
      <c r="K3940" s="24"/>
      <c r="L3940" s="24"/>
      <c r="M3940" s="36"/>
      <c r="N3940" s="24"/>
      <c r="O3940" s="24"/>
      <c r="P3940" s="2"/>
      <c r="Q3940" s="2"/>
      <c r="R3940" s="2"/>
      <c r="S3940" s="2"/>
    </row>
    <row r="3941" spans="1:19">
      <c r="C3941" s="2"/>
      <c r="D3941" s="2">
        <v>4</v>
      </c>
      <c r="E3941" s="2" t="s">
        <v>15</v>
      </c>
      <c r="F3941" s="24">
        <v>9</v>
      </c>
      <c r="G3941" s="24"/>
      <c r="H3941" s="24"/>
      <c r="I3941" s="24"/>
      <c r="J3941" s="24"/>
      <c r="K3941" s="24"/>
      <c r="L3941" s="36"/>
      <c r="M3941" s="24"/>
      <c r="N3941" s="24"/>
      <c r="O3941" s="24"/>
      <c r="P3941" s="2"/>
      <c r="Q3941" s="2"/>
      <c r="R3941" s="2"/>
      <c r="S3941" s="2"/>
    </row>
    <row r="3942" spans="1:19">
      <c r="C3942" s="2"/>
      <c r="D3942" s="2">
        <v>7</v>
      </c>
      <c r="E3942" s="23" t="s">
        <v>0</v>
      </c>
      <c r="F3942" s="24">
        <f>H3933-20</f>
        <v>10</v>
      </c>
      <c r="G3942" s="24">
        <f>K3933-60</f>
        <v>460</v>
      </c>
      <c r="H3942" s="24">
        <f t="shared" ref="H3942:I3944" si="200">F3942+200</f>
        <v>210</v>
      </c>
      <c r="I3942" s="24">
        <f t="shared" si="200"/>
        <v>660</v>
      </c>
      <c r="J3942" s="24"/>
      <c r="K3942" s="24"/>
      <c r="L3942" s="24"/>
      <c r="M3942" s="24"/>
      <c r="N3942" s="24"/>
      <c r="O3942" s="24"/>
      <c r="P3942" s="2"/>
      <c r="Q3942" s="2"/>
      <c r="R3942" s="2"/>
      <c r="S3942" s="2"/>
    </row>
    <row r="3943" spans="1:19">
      <c r="C3943" s="2"/>
      <c r="D3943" s="2">
        <v>7</v>
      </c>
      <c r="E3943" s="23" t="s">
        <v>0</v>
      </c>
      <c r="F3943" s="24">
        <f>H3933-20</f>
        <v>10</v>
      </c>
      <c r="G3943" s="24">
        <f>L3933-60</f>
        <v>2460</v>
      </c>
      <c r="H3943" s="24">
        <f t="shared" si="200"/>
        <v>210</v>
      </c>
      <c r="I3943" s="24">
        <f t="shared" si="200"/>
        <v>2660</v>
      </c>
      <c r="J3943" s="24"/>
      <c r="K3943" s="24"/>
      <c r="L3943" s="24"/>
      <c r="M3943" s="24"/>
      <c r="N3943" s="24"/>
      <c r="O3943" s="24"/>
      <c r="P3943" s="2"/>
      <c r="Q3943" s="2"/>
      <c r="R3943" s="2"/>
      <c r="S3943" s="2"/>
    </row>
    <row r="3944" spans="1:19">
      <c r="D3944" s="2">
        <v>7</v>
      </c>
      <c r="E3944" s="23" t="s">
        <v>0</v>
      </c>
      <c r="F3944" s="24">
        <f>H3933-20</f>
        <v>10</v>
      </c>
      <c r="G3944" s="24">
        <f>M3933-60</f>
        <v>4460</v>
      </c>
      <c r="H3944" s="24">
        <f t="shared" si="200"/>
        <v>210</v>
      </c>
      <c r="I3944" s="24">
        <f t="shared" si="200"/>
        <v>4660</v>
      </c>
      <c r="J3944" s="24"/>
    </row>
    <row r="3945" spans="1:19">
      <c r="A3945" s="2"/>
      <c r="B3945" s="2"/>
      <c r="C3945" s="2"/>
      <c r="D3945" s="2">
        <f t="shared" ref="D3945:D3954" si="201">ROUNDUP(6+F3945/2,0)</f>
        <v>7</v>
      </c>
      <c r="E3945" s="2" t="s">
        <v>6</v>
      </c>
      <c r="F3945" s="24">
        <f t="shared" ref="F3945:F3954" si="202">LEN(G3945)</f>
        <v>2</v>
      </c>
      <c r="G3945" s="36" t="s">
        <v>170</v>
      </c>
      <c r="H3945" s="24">
        <v>280</v>
      </c>
      <c r="I3945" s="24">
        <v>980</v>
      </c>
      <c r="J3945" s="24"/>
      <c r="K3945" s="24"/>
      <c r="L3945" s="24"/>
      <c r="M3945" s="24"/>
      <c r="N3945" s="24"/>
      <c r="O3945" s="24"/>
      <c r="P3945" s="2"/>
      <c r="Q3945" s="2"/>
      <c r="R3945" s="2"/>
      <c r="S3945" s="2"/>
    </row>
    <row r="3946" spans="1:19">
      <c r="A3946" s="2"/>
      <c r="B3946" s="2"/>
      <c r="C3946" s="2"/>
      <c r="D3946" s="2">
        <f t="shared" si="201"/>
        <v>7</v>
      </c>
      <c r="E3946" s="2" t="s">
        <v>6</v>
      </c>
      <c r="F3946" s="24">
        <f t="shared" si="202"/>
        <v>2</v>
      </c>
      <c r="G3946" s="24" t="s">
        <v>166</v>
      </c>
      <c r="H3946" s="24">
        <v>480</v>
      </c>
      <c r="I3946" s="24">
        <v>980</v>
      </c>
      <c r="J3946" s="24"/>
      <c r="K3946" s="24"/>
      <c r="L3946" s="24"/>
      <c r="M3946" s="24"/>
      <c r="N3946" s="24"/>
      <c r="O3946" s="24"/>
      <c r="P3946" s="2"/>
      <c r="Q3946" s="2"/>
      <c r="R3946" s="2"/>
      <c r="S3946" s="2"/>
    </row>
    <row r="3947" spans="1:19">
      <c r="A3947" s="2"/>
      <c r="B3947" s="2"/>
      <c r="C3947" s="2"/>
      <c r="D3947" s="2">
        <f t="shared" si="201"/>
        <v>7</v>
      </c>
      <c r="E3947" s="2" t="s">
        <v>6</v>
      </c>
      <c r="F3947" s="24">
        <f t="shared" si="202"/>
        <v>2</v>
      </c>
      <c r="G3947" s="24" t="s">
        <v>167</v>
      </c>
      <c r="H3947" s="24">
        <v>1440</v>
      </c>
      <c r="I3947" s="24">
        <v>630</v>
      </c>
      <c r="J3947" s="24"/>
      <c r="K3947" s="24"/>
      <c r="L3947" s="24"/>
      <c r="M3947" s="24"/>
      <c r="N3947" s="24"/>
      <c r="O3947" s="24"/>
      <c r="P3947" s="2"/>
      <c r="Q3947" s="2"/>
      <c r="R3947" s="2"/>
      <c r="S3947" s="2"/>
    </row>
    <row r="3948" spans="1:19">
      <c r="A3948" s="2"/>
      <c r="B3948" s="2"/>
      <c r="C3948" s="2"/>
      <c r="D3948" s="2">
        <f t="shared" si="201"/>
        <v>7</v>
      </c>
      <c r="E3948" s="2" t="s">
        <v>6</v>
      </c>
      <c r="F3948" s="24">
        <f t="shared" si="202"/>
        <v>2</v>
      </c>
      <c r="G3948" s="24" t="s">
        <v>510</v>
      </c>
      <c r="H3948" s="24">
        <v>1070</v>
      </c>
      <c r="I3948" s="24">
        <v>810</v>
      </c>
      <c r="J3948" s="24"/>
      <c r="K3948" s="24"/>
      <c r="L3948" s="24"/>
      <c r="M3948" s="24"/>
      <c r="N3948" s="24"/>
      <c r="O3948" s="24"/>
      <c r="P3948" s="2"/>
      <c r="Q3948" s="2"/>
      <c r="R3948" s="2"/>
      <c r="S3948" s="2"/>
    </row>
    <row r="3949" spans="1:19">
      <c r="A3949" s="2"/>
      <c r="B3949" s="2"/>
      <c r="C3949" s="2"/>
      <c r="D3949" s="2">
        <f t="shared" si="201"/>
        <v>7</v>
      </c>
      <c r="E3949" s="2" t="s">
        <v>6</v>
      </c>
      <c r="F3949" s="24">
        <f t="shared" si="202"/>
        <v>2</v>
      </c>
      <c r="G3949" s="24" t="s">
        <v>166</v>
      </c>
      <c r="H3949" s="24">
        <v>330</v>
      </c>
      <c r="I3949" s="24">
        <v>2920</v>
      </c>
      <c r="J3949" s="24"/>
      <c r="K3949" s="24"/>
      <c r="L3949" s="24"/>
      <c r="M3949" s="24"/>
      <c r="N3949" s="24"/>
      <c r="O3949" s="24"/>
      <c r="P3949" s="2"/>
      <c r="Q3949" s="2"/>
      <c r="R3949" s="2"/>
      <c r="S3949" s="2"/>
    </row>
    <row r="3950" spans="1:19">
      <c r="A3950" s="2"/>
      <c r="B3950" s="2"/>
      <c r="C3950" s="2"/>
      <c r="D3950" s="2">
        <f t="shared" si="201"/>
        <v>7</v>
      </c>
      <c r="E3950" s="2" t="s">
        <v>6</v>
      </c>
      <c r="F3950" s="24">
        <f t="shared" si="202"/>
        <v>2</v>
      </c>
      <c r="G3950" s="24" t="s">
        <v>167</v>
      </c>
      <c r="H3950" s="24">
        <v>1440</v>
      </c>
      <c r="I3950" s="24">
        <v>2800</v>
      </c>
      <c r="J3950" s="24"/>
      <c r="K3950" s="24"/>
      <c r="L3950" s="24"/>
      <c r="M3950" s="24"/>
      <c r="N3950" s="24"/>
      <c r="O3950" s="24"/>
      <c r="P3950" s="2"/>
      <c r="Q3950" s="2"/>
      <c r="R3950" s="2"/>
      <c r="S3950" s="2"/>
    </row>
    <row r="3951" spans="1:19">
      <c r="A3951" s="2"/>
      <c r="B3951" s="2"/>
      <c r="C3951" s="2"/>
      <c r="D3951" s="2">
        <f t="shared" si="201"/>
        <v>7</v>
      </c>
      <c r="E3951" s="2" t="s">
        <v>6</v>
      </c>
      <c r="F3951" s="24">
        <f t="shared" si="202"/>
        <v>2</v>
      </c>
      <c r="G3951" s="24" t="s">
        <v>510</v>
      </c>
      <c r="H3951" s="24">
        <v>1000</v>
      </c>
      <c r="I3951" s="24">
        <v>2800</v>
      </c>
      <c r="J3951" s="24"/>
      <c r="K3951" s="24"/>
      <c r="L3951" s="24"/>
      <c r="M3951" s="24"/>
      <c r="N3951" s="24"/>
      <c r="O3951" s="24"/>
      <c r="P3951" s="2"/>
      <c r="Q3951" s="2"/>
      <c r="R3951" s="2"/>
      <c r="S3951" s="2"/>
    </row>
    <row r="3952" spans="1:19">
      <c r="A3952" s="2"/>
      <c r="B3952" s="2"/>
      <c r="C3952" s="2"/>
      <c r="D3952" s="2">
        <f t="shared" si="201"/>
        <v>7</v>
      </c>
      <c r="E3952" s="2" t="s">
        <v>6</v>
      </c>
      <c r="F3952" s="24">
        <f t="shared" si="202"/>
        <v>2</v>
      </c>
      <c r="G3952" s="24" t="s">
        <v>166</v>
      </c>
      <c r="H3952" s="24">
        <v>420</v>
      </c>
      <c r="I3952" s="24">
        <v>5000</v>
      </c>
      <c r="J3952" s="24"/>
      <c r="K3952" s="24"/>
      <c r="L3952" s="24"/>
      <c r="M3952" s="24"/>
      <c r="N3952" s="24"/>
      <c r="O3952" s="24"/>
      <c r="P3952" s="2"/>
      <c r="Q3952" s="2"/>
      <c r="R3952" s="2"/>
      <c r="S3952" s="2"/>
    </row>
    <row r="3953" spans="1:19">
      <c r="A3953" s="2"/>
      <c r="B3953" s="2"/>
      <c r="C3953" s="2"/>
      <c r="D3953" s="2">
        <f t="shared" si="201"/>
        <v>7</v>
      </c>
      <c r="E3953" s="2" t="s">
        <v>6</v>
      </c>
      <c r="F3953" s="24">
        <f t="shared" si="202"/>
        <v>2</v>
      </c>
      <c r="G3953" s="24" t="s">
        <v>167</v>
      </c>
      <c r="H3953" s="24">
        <v>1520</v>
      </c>
      <c r="I3953" s="24">
        <v>4700</v>
      </c>
      <c r="J3953" s="24"/>
      <c r="K3953" s="24"/>
      <c r="L3953" s="24"/>
      <c r="M3953" s="24"/>
      <c r="N3953" s="24"/>
      <c r="O3953" s="24"/>
      <c r="P3953" s="2"/>
      <c r="Q3953" s="2"/>
      <c r="R3953" s="2"/>
      <c r="S3953" s="2"/>
    </row>
    <row r="3954" spans="1:19">
      <c r="A3954" s="2"/>
      <c r="B3954" s="2"/>
      <c r="C3954" s="2"/>
      <c r="D3954" s="2">
        <f t="shared" si="201"/>
        <v>7</v>
      </c>
      <c r="E3954" s="2" t="s">
        <v>6</v>
      </c>
      <c r="F3954" s="24">
        <f t="shared" si="202"/>
        <v>2</v>
      </c>
      <c r="G3954" s="24" t="s">
        <v>510</v>
      </c>
      <c r="H3954" s="24">
        <v>1260</v>
      </c>
      <c r="I3954" s="24">
        <v>4600</v>
      </c>
      <c r="J3954" s="24"/>
      <c r="K3954" s="24"/>
      <c r="L3954" s="24"/>
      <c r="M3954" s="24"/>
      <c r="N3954" s="24"/>
      <c r="O3954" s="24"/>
      <c r="P3954" s="2"/>
      <c r="Q3954" s="2"/>
      <c r="R3954" s="2"/>
      <c r="S3954" s="2"/>
    </row>
    <row r="3956" spans="1:19">
      <c r="A3956" s="2" t="s">
        <v>511</v>
      </c>
      <c r="C3956" s="2"/>
      <c r="D3956" s="2">
        <v>4</v>
      </c>
      <c r="E3956" s="2" t="s">
        <v>15</v>
      </c>
      <c r="F3956" s="24">
        <v>0</v>
      </c>
      <c r="G3956" s="24"/>
      <c r="H3956" s="24"/>
      <c r="I3956" s="24"/>
      <c r="J3956" s="24"/>
      <c r="K3956" s="24"/>
      <c r="L3956" s="24"/>
      <c r="M3956" s="24"/>
      <c r="N3956" s="24"/>
      <c r="O3956" s="24"/>
      <c r="P3956" s="2"/>
      <c r="Q3956" s="2"/>
      <c r="R3956" s="2"/>
    </row>
    <row r="3957" spans="1:19">
      <c r="A3957" t="s">
        <v>512</v>
      </c>
      <c r="C3957" s="2"/>
      <c r="D3957" s="2">
        <v>4</v>
      </c>
      <c r="E3957" s="2" t="s">
        <v>15</v>
      </c>
      <c r="F3957" s="24">
        <v>1</v>
      </c>
      <c r="G3957" s="24"/>
      <c r="H3957" s="24"/>
      <c r="I3957" s="24"/>
      <c r="J3957" s="24"/>
      <c r="K3957" s="24"/>
      <c r="L3957" s="24"/>
      <c r="M3957" s="24"/>
      <c r="N3957" s="24"/>
      <c r="O3957" s="24"/>
      <c r="P3957" s="2"/>
      <c r="Q3957" s="2"/>
      <c r="R3957" s="2"/>
    </row>
    <row r="3958" spans="1:19">
      <c r="C3958" s="2"/>
      <c r="D3958">
        <v>5</v>
      </c>
      <c r="E3958" t="s">
        <v>59</v>
      </c>
      <c r="F3958" s="6">
        <v>1</v>
      </c>
      <c r="G3958" s="6">
        <v>0</v>
      </c>
      <c r="H3958" s="24"/>
      <c r="I3958" s="24"/>
      <c r="J3958" s="24"/>
      <c r="K3958" s="24"/>
      <c r="L3958" s="24"/>
      <c r="M3958" s="24"/>
      <c r="N3958" s="24"/>
      <c r="O3958" s="24"/>
      <c r="P3958" s="2"/>
      <c r="Q3958" s="2"/>
      <c r="R3958" s="2"/>
    </row>
    <row r="3959" spans="1:19">
      <c r="C3959" s="2"/>
      <c r="D3959" s="2">
        <v>4</v>
      </c>
      <c r="E3959" s="2" t="s">
        <v>15</v>
      </c>
      <c r="F3959" s="24">
        <v>4</v>
      </c>
      <c r="G3959" s="24"/>
      <c r="H3959" s="24"/>
      <c r="I3959" s="24"/>
      <c r="J3959" s="24"/>
      <c r="K3959" s="24"/>
      <c r="L3959" s="24"/>
      <c r="M3959" s="24"/>
      <c r="N3959" s="24"/>
      <c r="O3959" s="24"/>
      <c r="P3959" s="2"/>
      <c r="Q3959" s="2"/>
      <c r="R3959" s="2"/>
    </row>
    <row r="3960" spans="1:19">
      <c r="A3960" t="s">
        <v>506</v>
      </c>
      <c r="B3960" s="2">
        <f>B3961</f>
        <v>750</v>
      </c>
      <c r="C3960" s="2">
        <f>C3961</f>
        <v>1750</v>
      </c>
      <c r="D3960" s="2">
        <f>F3960*2+4</f>
        <v>16</v>
      </c>
      <c r="E3960" s="2" t="s">
        <v>4</v>
      </c>
      <c r="F3960" s="24">
        <v>6</v>
      </c>
      <c r="G3960" s="24">
        <f>B3960</f>
        <v>750</v>
      </c>
      <c r="H3960" s="24">
        <f>B3963</f>
        <v>250</v>
      </c>
      <c r="I3960" s="24">
        <f>C3960</f>
        <v>1750</v>
      </c>
      <c r="J3960" s="24">
        <f>C3963</f>
        <v>250</v>
      </c>
      <c r="K3960" s="24">
        <f>C3961</f>
        <v>1750</v>
      </c>
      <c r="L3960" s="24">
        <f>C3964</f>
        <v>1250</v>
      </c>
      <c r="M3960" s="24">
        <f>B3962</f>
        <v>1250</v>
      </c>
      <c r="N3960" s="24">
        <f>B3965</f>
        <v>1750</v>
      </c>
      <c r="O3960" s="24">
        <f>A3962</f>
        <v>250</v>
      </c>
      <c r="P3960" s="2">
        <f>A3965</f>
        <v>1750</v>
      </c>
      <c r="Q3960" s="2">
        <f>A3961</f>
        <v>250</v>
      </c>
      <c r="R3960" s="2">
        <f>A3964</f>
        <v>750</v>
      </c>
    </row>
    <row r="3961" spans="1:19">
      <c r="A3961">
        <f>A3962</f>
        <v>250</v>
      </c>
      <c r="B3961" s="4">
        <v>750</v>
      </c>
      <c r="C3961" s="2">
        <f>B3961+1000</f>
        <v>1750</v>
      </c>
      <c r="D3961" s="2">
        <f>F3961*2+4</f>
        <v>16</v>
      </c>
      <c r="E3961" s="2" t="s">
        <v>4</v>
      </c>
      <c r="F3961" s="24">
        <v>6</v>
      </c>
      <c r="G3961" s="24">
        <f>B3966</f>
        <v>2750</v>
      </c>
      <c r="H3961" s="24">
        <f>B3969</f>
        <v>250</v>
      </c>
      <c r="I3961" s="24">
        <f>C3966</f>
        <v>3750</v>
      </c>
      <c r="J3961" s="24">
        <f>C3969</f>
        <v>250</v>
      </c>
      <c r="K3961" s="24">
        <f>C3967</f>
        <v>3750</v>
      </c>
      <c r="L3961" s="24">
        <f>C3970</f>
        <v>1250</v>
      </c>
      <c r="M3961" s="24">
        <f>B3968</f>
        <v>3250</v>
      </c>
      <c r="N3961" s="24">
        <f>B3971</f>
        <v>1750</v>
      </c>
      <c r="O3961" s="24">
        <f>A3968</f>
        <v>2250</v>
      </c>
      <c r="P3961" s="2">
        <f>A3971</f>
        <v>1750</v>
      </c>
      <c r="Q3961" s="2">
        <f>A3967</f>
        <v>2250</v>
      </c>
      <c r="R3961" s="2">
        <f>A3970</f>
        <v>750</v>
      </c>
    </row>
    <row r="3962" spans="1:19">
      <c r="A3962">
        <f>B3961-500</f>
        <v>250</v>
      </c>
      <c r="B3962">
        <f>A3962+1000</f>
        <v>1250</v>
      </c>
      <c r="C3962" s="2"/>
      <c r="D3962" s="2">
        <v>4</v>
      </c>
      <c r="E3962" s="2" t="s">
        <v>15</v>
      </c>
      <c r="F3962" s="24">
        <v>5</v>
      </c>
      <c r="G3962" s="24"/>
      <c r="H3962" s="24"/>
      <c r="I3962" s="24"/>
      <c r="J3962" s="24"/>
      <c r="K3962" s="24"/>
      <c r="L3962" s="24"/>
      <c r="M3962" s="24"/>
      <c r="N3962" s="24"/>
      <c r="O3962" s="24"/>
      <c r="P3962" s="2"/>
      <c r="Q3962" s="2"/>
      <c r="R3962" s="2"/>
    </row>
    <row r="3963" spans="1:19">
      <c r="A3963" t="s">
        <v>505</v>
      </c>
      <c r="B3963">
        <f>B3964-1000</f>
        <v>250</v>
      </c>
      <c r="C3963" s="2">
        <f>C3964-1000</f>
        <v>250</v>
      </c>
      <c r="D3963" s="2">
        <f>F3963*2+4</f>
        <v>16</v>
      </c>
      <c r="E3963" s="2" t="s">
        <v>4</v>
      </c>
      <c r="F3963" s="24">
        <v>6</v>
      </c>
      <c r="G3963" s="24">
        <f>B3972</f>
        <v>4750</v>
      </c>
      <c r="H3963" s="24">
        <f>B3975</f>
        <v>250</v>
      </c>
      <c r="I3963" s="24">
        <f>C3972</f>
        <v>5750</v>
      </c>
      <c r="J3963" s="24">
        <f>C3975</f>
        <v>250</v>
      </c>
      <c r="K3963" s="24">
        <f>C3973</f>
        <v>5750</v>
      </c>
      <c r="L3963" s="24">
        <f>C3976</f>
        <v>1250</v>
      </c>
      <c r="M3963" s="24">
        <f>B3974</f>
        <v>5250</v>
      </c>
      <c r="N3963" s="24">
        <f>B3977</f>
        <v>1750</v>
      </c>
      <c r="O3963" s="24">
        <f>A3974</f>
        <v>4250</v>
      </c>
      <c r="P3963" s="2">
        <f>A3977</f>
        <v>1750</v>
      </c>
      <c r="Q3963" s="2">
        <f>A3973</f>
        <v>4250</v>
      </c>
      <c r="R3963" s="2">
        <f>A3976</f>
        <v>750</v>
      </c>
    </row>
    <row r="3964" spans="1:19">
      <c r="A3964">
        <f>A3965-1000</f>
        <v>750</v>
      </c>
      <c r="B3964" s="4">
        <v>1250</v>
      </c>
      <c r="C3964" s="2">
        <f>B3964</f>
        <v>1250</v>
      </c>
      <c r="D3964" s="2">
        <f>F3964*2+4</f>
        <v>10</v>
      </c>
      <c r="E3964" s="2" t="s">
        <v>4</v>
      </c>
      <c r="F3964" s="24">
        <v>3</v>
      </c>
      <c r="G3964" s="24">
        <f>B3961+400</f>
        <v>1150</v>
      </c>
      <c r="H3964" s="24">
        <f>B3964</f>
        <v>1250</v>
      </c>
      <c r="I3964" s="24">
        <f>B3961</f>
        <v>750</v>
      </c>
      <c r="J3964" s="24">
        <f>B3964-400</f>
        <v>850</v>
      </c>
      <c r="K3964" s="24">
        <f>B3961-200</f>
        <v>550</v>
      </c>
      <c r="L3964" s="24">
        <f>B3964+200</f>
        <v>1450</v>
      </c>
      <c r="M3964" s="24"/>
      <c r="N3964" s="24"/>
      <c r="O3964" s="24"/>
      <c r="P3964" s="2"/>
      <c r="Q3964" s="2"/>
      <c r="R3964" s="2"/>
    </row>
    <row r="3965" spans="1:19">
      <c r="A3965">
        <f>B3964+500</f>
        <v>1750</v>
      </c>
      <c r="B3965">
        <f>A3965</f>
        <v>1750</v>
      </c>
      <c r="C3965" s="2"/>
      <c r="D3965" s="2">
        <f>F3965*2+4</f>
        <v>16</v>
      </c>
      <c r="E3965" s="2" t="s">
        <v>4</v>
      </c>
      <c r="F3965" s="24">
        <v>6</v>
      </c>
      <c r="G3965" s="24">
        <f>A3968</f>
        <v>2250</v>
      </c>
      <c r="H3965" s="24">
        <f>A3971-200</f>
        <v>1550</v>
      </c>
      <c r="I3965" s="24">
        <f>B3966-100</f>
        <v>2650</v>
      </c>
      <c r="J3965" s="24">
        <f>B3969+100</f>
        <v>350</v>
      </c>
      <c r="K3965" s="24">
        <f>B3966+200</f>
        <v>2950</v>
      </c>
      <c r="L3965" s="24">
        <f>B3969</f>
        <v>250</v>
      </c>
      <c r="M3965" s="24">
        <f>C3967</f>
        <v>3750</v>
      </c>
      <c r="N3965" s="24">
        <f>C3970-200</f>
        <v>1050</v>
      </c>
      <c r="O3965" s="24">
        <f>C3967-100</f>
        <v>3650</v>
      </c>
      <c r="P3965" s="2">
        <f>C3970+100</f>
        <v>1350</v>
      </c>
      <c r="Q3965" s="2">
        <f>A3968+200</f>
        <v>2450</v>
      </c>
      <c r="R3965" s="2">
        <f>A3971</f>
        <v>1750</v>
      </c>
    </row>
    <row r="3966" spans="1:19">
      <c r="A3966" s="8" t="s">
        <v>506</v>
      </c>
      <c r="B3966" s="9">
        <f>B3967</f>
        <v>2750</v>
      </c>
      <c r="C3966" s="26">
        <f>C3967</f>
        <v>3750</v>
      </c>
      <c r="D3966" s="2">
        <v>4</v>
      </c>
      <c r="E3966" s="2" t="s">
        <v>15</v>
      </c>
      <c r="F3966" s="24">
        <v>4</v>
      </c>
      <c r="G3966" s="24"/>
      <c r="H3966" s="24"/>
      <c r="I3966" s="24"/>
      <c r="J3966" s="24"/>
      <c r="K3966" s="24"/>
      <c r="L3966" s="24"/>
      <c r="M3966" s="24"/>
      <c r="N3966" s="24"/>
      <c r="O3966" s="24"/>
      <c r="P3966" s="2"/>
      <c r="Q3966" s="2"/>
      <c r="R3966" s="2"/>
    </row>
    <row r="3967" spans="1:19">
      <c r="A3967" s="27">
        <f>A3968</f>
        <v>2250</v>
      </c>
      <c r="B3967" s="28">
        <f>B3961+2000</f>
        <v>2750</v>
      </c>
      <c r="C3967" s="29">
        <f>B3967+1000</f>
        <v>3750</v>
      </c>
      <c r="D3967" s="2">
        <f>F3967*2+4</f>
        <v>10</v>
      </c>
      <c r="E3967" s="2" t="s">
        <v>4</v>
      </c>
      <c r="F3967" s="24">
        <v>3</v>
      </c>
      <c r="G3967" s="24">
        <f>B3973+500-400</f>
        <v>4850</v>
      </c>
      <c r="H3967" s="24">
        <f>B3976-500</f>
        <v>750</v>
      </c>
      <c r="I3967" s="24">
        <f>B3973+500</f>
        <v>5250</v>
      </c>
      <c r="J3967" s="24">
        <f>B3976-500+400</f>
        <v>1150</v>
      </c>
      <c r="K3967" s="24">
        <f>B3973+700</f>
        <v>5450</v>
      </c>
      <c r="L3967" s="24">
        <f>B3976-700</f>
        <v>550</v>
      </c>
      <c r="M3967" s="24"/>
      <c r="N3967" s="24"/>
      <c r="O3967" s="24"/>
      <c r="P3967" s="2"/>
      <c r="Q3967" s="2"/>
      <c r="R3967" s="2"/>
    </row>
    <row r="3968" spans="1:19">
      <c r="A3968" s="27">
        <f>B3967-500</f>
        <v>2250</v>
      </c>
      <c r="B3968" s="13">
        <f>A3968+1000</f>
        <v>3250</v>
      </c>
      <c r="C3968" s="29"/>
      <c r="D3968" s="2">
        <v>4</v>
      </c>
      <c r="E3968" s="2" t="s">
        <v>15</v>
      </c>
      <c r="F3968" s="24">
        <v>8</v>
      </c>
      <c r="G3968" s="24"/>
      <c r="H3968" s="24"/>
      <c r="I3968" s="24"/>
      <c r="J3968" s="24"/>
      <c r="K3968" s="24"/>
      <c r="L3968" s="24"/>
      <c r="M3968" s="24"/>
      <c r="N3968" s="24"/>
      <c r="O3968" s="24"/>
      <c r="P3968" s="2"/>
      <c r="Q3968" s="2"/>
      <c r="R3968" s="2"/>
    </row>
    <row r="3969" spans="1:18">
      <c r="A3969" s="27" t="s">
        <v>505</v>
      </c>
      <c r="B3969" s="13">
        <f>B3970-1000</f>
        <v>250</v>
      </c>
      <c r="C3969" s="29">
        <f>C3970-1000</f>
        <v>250</v>
      </c>
      <c r="D3969" s="2">
        <f t="shared" ref="D3969:D3974" si="203">F3969*2+4</f>
        <v>10</v>
      </c>
      <c r="E3969" s="2" t="s">
        <v>1</v>
      </c>
      <c r="F3969" s="24">
        <v>3</v>
      </c>
      <c r="G3969" s="24">
        <f>A3962</f>
        <v>250</v>
      </c>
      <c r="H3969" s="24">
        <f>A3964</f>
        <v>750</v>
      </c>
      <c r="I3969" s="24">
        <f>K3969</f>
        <v>1250</v>
      </c>
      <c r="J3969" s="24">
        <f>H3969</f>
        <v>750</v>
      </c>
      <c r="K3969" s="24">
        <f>B3962</f>
        <v>1250</v>
      </c>
      <c r="L3969" s="24">
        <f>B3965</f>
        <v>1750</v>
      </c>
      <c r="M3969" s="24"/>
      <c r="N3969" s="24"/>
      <c r="O3969" s="24"/>
      <c r="P3969" s="2"/>
      <c r="Q3969" s="2"/>
      <c r="R3969" s="2"/>
    </row>
    <row r="3970" spans="1:18">
      <c r="A3970" s="27">
        <f>A3971-1000</f>
        <v>750</v>
      </c>
      <c r="B3970" s="28">
        <f>B3964</f>
        <v>1250</v>
      </c>
      <c r="C3970" s="29">
        <f>B3970</f>
        <v>1250</v>
      </c>
      <c r="D3970" s="2">
        <f t="shared" si="203"/>
        <v>8</v>
      </c>
      <c r="E3970" s="2" t="s">
        <v>1</v>
      </c>
      <c r="F3970" s="24">
        <v>2</v>
      </c>
      <c r="G3970" s="24">
        <f>C3960</f>
        <v>1750</v>
      </c>
      <c r="H3970" s="24">
        <f>C3963</f>
        <v>250</v>
      </c>
      <c r="I3970" s="24">
        <f>I3969</f>
        <v>1250</v>
      </c>
      <c r="J3970" s="24">
        <f>J3969</f>
        <v>750</v>
      </c>
      <c r="K3970" s="24"/>
      <c r="L3970" s="24"/>
      <c r="M3970" s="24"/>
      <c r="N3970" s="24"/>
      <c r="O3970" s="24"/>
      <c r="P3970" s="2"/>
      <c r="Q3970" s="2"/>
      <c r="R3970" s="2"/>
    </row>
    <row r="3971" spans="1:18">
      <c r="A3971" s="10">
        <f>B3970+500</f>
        <v>1750</v>
      </c>
      <c r="B3971" s="11">
        <f>A3971</f>
        <v>1750</v>
      </c>
      <c r="C3971" s="30"/>
      <c r="D3971" s="2">
        <f t="shared" si="203"/>
        <v>10</v>
      </c>
      <c r="E3971" s="2" t="s">
        <v>1</v>
      </c>
      <c r="F3971" s="24">
        <v>3</v>
      </c>
      <c r="G3971" s="24">
        <f>A3968</f>
        <v>2250</v>
      </c>
      <c r="H3971" s="24">
        <f>A3970</f>
        <v>750</v>
      </c>
      <c r="I3971" s="24">
        <f>K3971</f>
        <v>3250</v>
      </c>
      <c r="J3971" s="24">
        <f>H3971</f>
        <v>750</v>
      </c>
      <c r="K3971" s="24">
        <f>B3968</f>
        <v>3250</v>
      </c>
      <c r="L3971" s="24">
        <f>B3971</f>
        <v>1750</v>
      </c>
      <c r="M3971" s="24"/>
      <c r="N3971" s="24"/>
      <c r="O3971" s="24"/>
      <c r="P3971" s="2"/>
      <c r="Q3971" s="2"/>
      <c r="R3971" s="2"/>
    </row>
    <row r="3972" spans="1:18">
      <c r="A3972" t="s">
        <v>506</v>
      </c>
      <c r="B3972" s="2">
        <f>B3973</f>
        <v>4750</v>
      </c>
      <c r="C3972" s="2">
        <f>C3973</f>
        <v>5750</v>
      </c>
      <c r="D3972" s="2">
        <f t="shared" si="203"/>
        <v>8</v>
      </c>
      <c r="E3972" s="2" t="s">
        <v>1</v>
      </c>
      <c r="F3972" s="24">
        <v>2</v>
      </c>
      <c r="G3972" s="24">
        <f>C3966</f>
        <v>3750</v>
      </c>
      <c r="H3972" s="24">
        <f>C3969</f>
        <v>250</v>
      </c>
      <c r="I3972" s="24">
        <f>I3971</f>
        <v>3250</v>
      </c>
      <c r="J3972" s="24">
        <f>J3971</f>
        <v>750</v>
      </c>
      <c r="K3972" s="24"/>
      <c r="L3972" s="24"/>
      <c r="M3972" s="24"/>
      <c r="N3972" s="24"/>
      <c r="O3972" s="24"/>
      <c r="P3972" s="2"/>
      <c r="Q3972" s="2"/>
      <c r="R3972" s="2"/>
    </row>
    <row r="3973" spans="1:18">
      <c r="A3973">
        <f>A3974</f>
        <v>4250</v>
      </c>
      <c r="B3973" s="28">
        <f>B3967+2000</f>
        <v>4750</v>
      </c>
      <c r="C3973" s="2">
        <f>B3973+1000</f>
        <v>5750</v>
      </c>
      <c r="D3973" s="2">
        <f t="shared" si="203"/>
        <v>10</v>
      </c>
      <c r="E3973" s="2" t="s">
        <v>1</v>
      </c>
      <c r="F3973" s="24">
        <v>3</v>
      </c>
      <c r="G3973" s="24">
        <f>A3974</f>
        <v>4250</v>
      </c>
      <c r="H3973" s="24">
        <f>A3976</f>
        <v>750</v>
      </c>
      <c r="I3973" s="24">
        <f>K3973</f>
        <v>5250</v>
      </c>
      <c r="J3973" s="24">
        <f>H3973</f>
        <v>750</v>
      </c>
      <c r="K3973" s="24">
        <f>B3974</f>
        <v>5250</v>
      </c>
      <c r="L3973" s="24">
        <f>B3977</f>
        <v>1750</v>
      </c>
      <c r="M3973" s="24"/>
      <c r="N3973" s="24"/>
      <c r="O3973" s="24"/>
      <c r="P3973" s="2"/>
      <c r="Q3973" s="2"/>
      <c r="R3973" s="2"/>
    </row>
    <row r="3974" spans="1:18">
      <c r="A3974">
        <f>B3973-500</f>
        <v>4250</v>
      </c>
      <c r="B3974">
        <f>A3974+1000</f>
        <v>5250</v>
      </c>
      <c r="C3974" s="2"/>
      <c r="D3974" s="2">
        <f t="shared" si="203"/>
        <v>8</v>
      </c>
      <c r="E3974" s="2" t="s">
        <v>1</v>
      </c>
      <c r="F3974" s="24">
        <v>2</v>
      </c>
      <c r="G3974" s="24">
        <f>C3972</f>
        <v>5750</v>
      </c>
      <c r="H3974" s="24">
        <f>C3975</f>
        <v>250</v>
      </c>
      <c r="I3974" s="24">
        <f>I3973</f>
        <v>5250</v>
      </c>
      <c r="J3974" s="24">
        <f>J3973</f>
        <v>750</v>
      </c>
      <c r="K3974" s="24"/>
      <c r="L3974" s="24"/>
      <c r="M3974" s="24"/>
      <c r="N3974" s="24"/>
      <c r="O3974" s="24"/>
      <c r="P3974" s="2"/>
      <c r="Q3974" s="2"/>
      <c r="R3974" s="2"/>
    </row>
    <row r="3975" spans="1:18">
      <c r="A3975" t="s">
        <v>505</v>
      </c>
      <c r="B3975">
        <f>B3976-1000</f>
        <v>250</v>
      </c>
      <c r="C3975" s="2">
        <f>C3976-1000</f>
        <v>250</v>
      </c>
      <c r="D3975" s="2">
        <v>4</v>
      </c>
      <c r="E3975" s="2" t="s">
        <v>15</v>
      </c>
      <c r="F3975" s="24">
        <v>1</v>
      </c>
      <c r="G3975" s="24"/>
      <c r="H3975" s="24"/>
      <c r="I3975" s="24"/>
      <c r="J3975" s="24"/>
      <c r="K3975" s="24"/>
      <c r="L3975" s="24"/>
      <c r="M3975" s="24"/>
      <c r="N3975" s="24"/>
      <c r="O3975" s="24"/>
      <c r="P3975" s="2"/>
      <c r="Q3975" s="2"/>
      <c r="R3975" s="2"/>
    </row>
    <row r="3976" spans="1:18">
      <c r="A3976">
        <f>A3977-1000</f>
        <v>750</v>
      </c>
      <c r="B3976" s="28">
        <f>B3970</f>
        <v>1250</v>
      </c>
      <c r="C3976" s="2">
        <f>B3976</f>
        <v>1250</v>
      </c>
      <c r="D3976" s="2">
        <v>4</v>
      </c>
      <c r="E3976" s="2" t="s">
        <v>15</v>
      </c>
      <c r="F3976" s="24">
        <v>6</v>
      </c>
      <c r="G3976" s="24"/>
      <c r="H3976" s="24"/>
      <c r="I3976" s="24"/>
      <c r="J3976" s="24"/>
      <c r="K3976" s="24"/>
      <c r="L3976" s="24"/>
      <c r="M3976" s="24"/>
      <c r="N3976" s="24"/>
      <c r="O3976" s="24"/>
      <c r="P3976" s="2"/>
      <c r="Q3976" s="2"/>
      <c r="R3976" s="2"/>
    </row>
    <row r="3977" spans="1:18">
      <c r="A3977">
        <f>B3976+500</f>
        <v>1750</v>
      </c>
      <c r="B3977">
        <f>A3977</f>
        <v>1750</v>
      </c>
      <c r="C3977" s="2"/>
      <c r="D3977" s="2">
        <f>F3977*2+4</f>
        <v>10</v>
      </c>
      <c r="E3977" s="2" t="s">
        <v>4</v>
      </c>
      <c r="F3977" s="24">
        <v>3</v>
      </c>
      <c r="G3977" s="24">
        <f>B3961+80</f>
        <v>830</v>
      </c>
      <c r="H3977" s="24">
        <f>B3964</f>
        <v>1250</v>
      </c>
      <c r="I3977" s="24">
        <f>B3961</f>
        <v>750</v>
      </c>
      <c r="J3977" s="24">
        <f>B3964-80</f>
        <v>1170</v>
      </c>
      <c r="K3977" s="24">
        <f>B3961-40</f>
        <v>710</v>
      </c>
      <c r="L3977" s="24">
        <f>B3964+40</f>
        <v>1290</v>
      </c>
      <c r="M3977" s="24"/>
      <c r="N3977" s="24"/>
      <c r="O3977" s="24"/>
      <c r="P3977" s="2"/>
      <c r="Q3977" s="2"/>
      <c r="R3977" s="2"/>
    </row>
    <row r="3978" spans="1:18">
      <c r="C3978" s="2"/>
      <c r="D3978" s="2">
        <f>F3978*2+4</f>
        <v>10</v>
      </c>
      <c r="E3978" s="2" t="s">
        <v>4</v>
      </c>
      <c r="F3978" s="24">
        <v>3</v>
      </c>
      <c r="G3978" s="24">
        <f>B3967+80</f>
        <v>2830</v>
      </c>
      <c r="H3978" s="24">
        <f>B3970</f>
        <v>1250</v>
      </c>
      <c r="I3978" s="24">
        <f>B3967</f>
        <v>2750</v>
      </c>
      <c r="J3978" s="24">
        <f>B3970-80</f>
        <v>1170</v>
      </c>
      <c r="K3978" s="24">
        <f>B3967-40</f>
        <v>2710</v>
      </c>
      <c r="L3978" s="24">
        <f>B3970+40</f>
        <v>1290</v>
      </c>
      <c r="M3978" s="24"/>
      <c r="N3978" s="24"/>
      <c r="O3978" s="24"/>
      <c r="P3978" s="2"/>
      <c r="Q3978" s="2"/>
      <c r="R3978" s="2"/>
    </row>
    <row r="3979" spans="1:18">
      <c r="C3979" s="2"/>
      <c r="D3979" s="2">
        <f>F3979*2+4</f>
        <v>10</v>
      </c>
      <c r="E3979" s="2" t="s">
        <v>4</v>
      </c>
      <c r="F3979" s="24">
        <v>3</v>
      </c>
      <c r="G3979" s="24">
        <f>B3973+80</f>
        <v>4830</v>
      </c>
      <c r="H3979" s="24">
        <f>B3976</f>
        <v>1250</v>
      </c>
      <c r="I3979" s="24">
        <f>B3973</f>
        <v>4750</v>
      </c>
      <c r="J3979" s="24">
        <f>B3976-80</f>
        <v>1170</v>
      </c>
      <c r="K3979" s="24">
        <f>B3973-40</f>
        <v>4710</v>
      </c>
      <c r="L3979" s="24">
        <f>B3976+40</f>
        <v>1290</v>
      </c>
      <c r="M3979" s="24"/>
      <c r="N3979" s="24"/>
      <c r="O3979" s="24"/>
      <c r="P3979" s="2"/>
      <c r="Q3979" s="2"/>
      <c r="R3979" s="2"/>
    </row>
    <row r="3980" spans="1:18">
      <c r="C3980" s="2"/>
      <c r="D3980" s="2">
        <v>4</v>
      </c>
      <c r="E3980" s="2" t="s">
        <v>15</v>
      </c>
      <c r="F3980" s="24">
        <v>7</v>
      </c>
      <c r="G3980" s="24"/>
      <c r="H3980" s="24"/>
      <c r="I3980" s="24"/>
      <c r="J3980" s="24"/>
      <c r="K3980" s="24"/>
      <c r="L3980" s="24"/>
      <c r="M3980" s="24"/>
      <c r="N3980" s="24"/>
      <c r="O3980" s="24"/>
      <c r="P3980" s="2"/>
      <c r="Q3980" s="2"/>
      <c r="R3980" s="2"/>
    </row>
    <row r="3981" spans="1:18">
      <c r="C3981" s="2"/>
      <c r="D3981" s="2">
        <v>18</v>
      </c>
      <c r="E3981" s="2" t="s">
        <v>111</v>
      </c>
      <c r="F3981" s="24">
        <v>100</v>
      </c>
      <c r="G3981" s="24">
        <f>B3961</f>
        <v>750</v>
      </c>
      <c r="H3981" s="24">
        <f>B3964</f>
        <v>1250</v>
      </c>
      <c r="I3981" s="24">
        <f>G3981+1200</f>
        <v>1950</v>
      </c>
      <c r="J3981" s="24">
        <f>H3981</f>
        <v>1250</v>
      </c>
      <c r="K3981" s="24"/>
      <c r="L3981" s="24"/>
      <c r="M3981" s="24"/>
      <c r="N3981" s="24"/>
      <c r="O3981" s="24"/>
      <c r="P3981" s="2"/>
      <c r="Q3981" s="2"/>
      <c r="R3981" s="2"/>
    </row>
    <row r="3982" spans="1:18">
      <c r="C3982" s="2"/>
      <c r="D3982" s="2">
        <v>18</v>
      </c>
      <c r="E3982" s="2" t="s">
        <v>111</v>
      </c>
      <c r="F3982" s="24">
        <v>100</v>
      </c>
      <c r="G3982" s="24">
        <f>G3981</f>
        <v>750</v>
      </c>
      <c r="H3982" s="24">
        <f>H3981</f>
        <v>1250</v>
      </c>
      <c r="I3982" s="24">
        <f>G3982</f>
        <v>750</v>
      </c>
      <c r="J3982" s="24">
        <f>H3982-1200</f>
        <v>50</v>
      </c>
      <c r="K3982" s="24"/>
      <c r="L3982" s="24"/>
      <c r="M3982" s="24"/>
      <c r="N3982" s="24"/>
      <c r="O3982" s="24"/>
      <c r="P3982" s="2"/>
      <c r="Q3982" s="2"/>
      <c r="R3982" s="2"/>
    </row>
    <row r="3983" spans="1:18">
      <c r="C3983" s="2"/>
      <c r="D3983" s="2">
        <v>18</v>
      </c>
      <c r="E3983" s="2" t="s">
        <v>111</v>
      </c>
      <c r="F3983" s="24">
        <v>100</v>
      </c>
      <c r="G3983" s="24">
        <f>G3982</f>
        <v>750</v>
      </c>
      <c r="H3983" s="24">
        <f>H3982</f>
        <v>1250</v>
      </c>
      <c r="I3983" s="24">
        <f>G3983-700</f>
        <v>50</v>
      </c>
      <c r="J3983" s="24">
        <f>H3983+700</f>
        <v>1950</v>
      </c>
      <c r="K3983" s="24"/>
      <c r="L3983" s="24"/>
      <c r="M3983" s="24"/>
      <c r="N3983" s="24"/>
      <c r="O3983" s="24"/>
      <c r="P3983" s="2"/>
      <c r="Q3983" s="2"/>
      <c r="R3983" s="2"/>
    </row>
    <row r="3984" spans="1:18">
      <c r="C3984" s="2"/>
      <c r="D3984" s="2"/>
      <c r="E3984" s="2" t="s">
        <v>515</v>
      </c>
      <c r="F3984" s="24" t="s">
        <v>520</v>
      </c>
      <c r="G3984" s="24">
        <f>I3981+10</f>
        <v>1960</v>
      </c>
      <c r="H3984" s="24">
        <f>J3981-80</f>
        <v>1170</v>
      </c>
      <c r="I3984" s="24">
        <f>I3987+10</f>
        <v>3960</v>
      </c>
      <c r="J3984" s="24">
        <f>I3990+10</f>
        <v>5960</v>
      </c>
      <c r="L3984" s="24"/>
      <c r="M3984" s="24"/>
      <c r="N3984" s="24"/>
      <c r="O3984" s="24"/>
      <c r="P3984" s="2"/>
      <c r="Q3984" s="2"/>
      <c r="R3984" s="2"/>
    </row>
    <row r="3985" spans="3:18">
      <c r="C3985" s="2"/>
      <c r="D3985" s="2"/>
      <c r="E3985" s="2" t="s">
        <v>515</v>
      </c>
      <c r="F3985" s="24" t="s">
        <v>615</v>
      </c>
      <c r="G3985" s="24">
        <f>I3982+70</f>
        <v>820</v>
      </c>
      <c r="H3985" s="24">
        <f>J3982-20</f>
        <v>30</v>
      </c>
      <c r="I3985" s="24">
        <f>I3988+70</f>
        <v>2820</v>
      </c>
      <c r="J3985" s="24">
        <f>I3991+70</f>
        <v>4820</v>
      </c>
      <c r="K3985" s="24"/>
      <c r="L3985" s="24"/>
      <c r="M3985" s="24"/>
      <c r="N3985" s="24"/>
      <c r="O3985" s="24"/>
      <c r="P3985" s="2"/>
      <c r="Q3985" s="2"/>
      <c r="R3985" s="2"/>
    </row>
    <row r="3986" spans="3:18">
      <c r="C3986" s="2"/>
      <c r="D3986" s="2"/>
      <c r="E3986" s="2" t="s">
        <v>515</v>
      </c>
      <c r="F3986" s="24" t="s">
        <v>521</v>
      </c>
      <c r="G3986" s="24">
        <f>I3983+150</f>
        <v>200</v>
      </c>
      <c r="H3986" s="24">
        <f>J3983-120</f>
        <v>1830</v>
      </c>
      <c r="I3986" s="24">
        <f>I3989+150</f>
        <v>2200</v>
      </c>
      <c r="J3986" s="24">
        <f>I3992+150</f>
        <v>4200</v>
      </c>
      <c r="L3986" s="24"/>
      <c r="M3986" s="24"/>
      <c r="N3986" s="24"/>
      <c r="O3986" s="24"/>
      <c r="P3986" s="2"/>
      <c r="Q3986" s="2"/>
      <c r="R3986" s="2"/>
    </row>
    <row r="3987" spans="3:18">
      <c r="C3987" s="2"/>
      <c r="D3987" s="2">
        <v>18</v>
      </c>
      <c r="E3987" s="2" t="s">
        <v>111</v>
      </c>
      <c r="F3987" s="24">
        <v>100</v>
      </c>
      <c r="G3987" s="24">
        <f>B3967</f>
        <v>2750</v>
      </c>
      <c r="H3987" s="24">
        <f>B3970</f>
        <v>1250</v>
      </c>
      <c r="I3987" s="24">
        <f>G3987+1200</f>
        <v>3950</v>
      </c>
      <c r="J3987" s="24">
        <f>H3987</f>
        <v>1250</v>
      </c>
      <c r="K3987" s="24"/>
      <c r="L3987" s="24"/>
      <c r="M3987" s="24"/>
      <c r="N3987" s="24"/>
      <c r="O3987" s="24"/>
      <c r="P3987" s="2"/>
      <c r="Q3987" s="2"/>
      <c r="R3987" s="2"/>
    </row>
    <row r="3988" spans="3:18">
      <c r="C3988" s="2"/>
      <c r="D3988" s="2">
        <v>18</v>
      </c>
      <c r="E3988" s="2" t="s">
        <v>111</v>
      </c>
      <c r="F3988" s="24">
        <v>100</v>
      </c>
      <c r="G3988" s="24">
        <f>G3987</f>
        <v>2750</v>
      </c>
      <c r="H3988" s="24">
        <f>H3987</f>
        <v>1250</v>
      </c>
      <c r="I3988" s="24">
        <f>G3988</f>
        <v>2750</v>
      </c>
      <c r="J3988" s="24">
        <f>H3988-1200</f>
        <v>50</v>
      </c>
      <c r="K3988" s="24"/>
      <c r="L3988" s="24"/>
      <c r="M3988" s="24"/>
      <c r="N3988" s="24"/>
      <c r="O3988" s="24"/>
      <c r="P3988" s="2"/>
      <c r="Q3988" s="2"/>
      <c r="R3988" s="2"/>
    </row>
    <row r="3989" spans="3:18">
      <c r="C3989" s="2"/>
      <c r="D3989" s="2">
        <v>18</v>
      </c>
      <c r="E3989" s="2" t="s">
        <v>111</v>
      </c>
      <c r="F3989" s="24">
        <v>100</v>
      </c>
      <c r="G3989" s="24">
        <f>G3988</f>
        <v>2750</v>
      </c>
      <c r="H3989" s="24">
        <f>H3988</f>
        <v>1250</v>
      </c>
      <c r="I3989" s="24">
        <f>G3989-700</f>
        <v>2050</v>
      </c>
      <c r="J3989" s="24">
        <f>H3989+700</f>
        <v>1950</v>
      </c>
      <c r="K3989" s="24"/>
      <c r="L3989" s="24"/>
      <c r="M3989" s="24"/>
      <c r="N3989" s="24"/>
      <c r="O3989" s="24"/>
      <c r="P3989" s="2"/>
      <c r="Q3989" s="2"/>
      <c r="R3989" s="2"/>
    </row>
    <row r="3990" spans="3:18">
      <c r="C3990" s="2"/>
      <c r="D3990" s="2">
        <v>18</v>
      </c>
      <c r="E3990" s="2" t="s">
        <v>111</v>
      </c>
      <c r="F3990" s="24">
        <v>100</v>
      </c>
      <c r="G3990" s="24">
        <f>B3973</f>
        <v>4750</v>
      </c>
      <c r="H3990" s="24">
        <f>B3976</f>
        <v>1250</v>
      </c>
      <c r="I3990" s="24">
        <f>G3990+1200</f>
        <v>5950</v>
      </c>
      <c r="J3990" s="24">
        <f>H3990</f>
        <v>1250</v>
      </c>
      <c r="K3990" s="24"/>
      <c r="L3990" s="24"/>
      <c r="M3990" s="24"/>
      <c r="N3990" s="24"/>
      <c r="O3990" s="24"/>
      <c r="P3990" s="2"/>
      <c r="Q3990" s="2"/>
      <c r="R3990" s="2"/>
    </row>
    <row r="3991" spans="3:18">
      <c r="C3991" s="2"/>
      <c r="D3991" s="2">
        <v>18</v>
      </c>
      <c r="E3991" s="2" t="s">
        <v>111</v>
      </c>
      <c r="F3991" s="24">
        <v>100</v>
      </c>
      <c r="G3991" s="24">
        <f>G3990</f>
        <v>4750</v>
      </c>
      <c r="H3991" s="24">
        <f>H3990</f>
        <v>1250</v>
      </c>
      <c r="I3991" s="24">
        <f>G3991</f>
        <v>4750</v>
      </c>
      <c r="J3991" s="24">
        <f>H3991-1200</f>
        <v>50</v>
      </c>
      <c r="K3991" s="24"/>
      <c r="L3991" s="24"/>
      <c r="M3991" s="24"/>
      <c r="N3991" s="24"/>
      <c r="O3991" s="24"/>
      <c r="P3991" s="2"/>
      <c r="Q3991" s="2"/>
      <c r="R3991" s="2"/>
    </row>
    <row r="3992" spans="3:18">
      <c r="C3992" s="2"/>
      <c r="D3992" s="2">
        <v>18</v>
      </c>
      <c r="E3992" s="2" t="s">
        <v>111</v>
      </c>
      <c r="F3992" s="24">
        <v>100</v>
      </c>
      <c r="G3992" s="24">
        <f>G3991</f>
        <v>4750</v>
      </c>
      <c r="H3992" s="24">
        <f>H3991</f>
        <v>1250</v>
      </c>
      <c r="I3992" s="24">
        <f>G3992-700</f>
        <v>4050</v>
      </c>
      <c r="J3992" s="24">
        <f>H3992+700</f>
        <v>1950</v>
      </c>
      <c r="K3992" s="24"/>
      <c r="L3992" s="24"/>
      <c r="M3992" s="36"/>
      <c r="N3992" s="24"/>
      <c r="O3992" s="24"/>
      <c r="P3992" s="2"/>
      <c r="Q3992" s="2"/>
      <c r="R3992" s="2"/>
    </row>
    <row r="3993" spans="3:18">
      <c r="C3993" s="2"/>
      <c r="D3993" s="2">
        <v>4</v>
      </c>
      <c r="E3993" s="2" t="s">
        <v>15</v>
      </c>
      <c r="F3993" s="24">
        <v>9</v>
      </c>
      <c r="G3993" s="24"/>
      <c r="H3993" s="24"/>
      <c r="I3993" s="24"/>
      <c r="J3993" s="24"/>
      <c r="K3993" s="24"/>
      <c r="L3993" s="36"/>
      <c r="M3993" s="24"/>
      <c r="N3993" s="24"/>
      <c r="O3993" s="24"/>
      <c r="P3993" s="2"/>
      <c r="Q3993" s="2"/>
      <c r="R3993" s="2"/>
    </row>
    <row r="3994" spans="3:18">
      <c r="C3994" s="2"/>
      <c r="D3994" s="2">
        <v>7</v>
      </c>
      <c r="E3994" s="23" t="s">
        <v>0</v>
      </c>
      <c r="F3994" s="24">
        <f>H3985-20</f>
        <v>10</v>
      </c>
      <c r="G3994" s="24">
        <f>K3985-60</f>
        <v>-60</v>
      </c>
      <c r="H3994" s="24">
        <f t="shared" ref="H3994:I3996" si="204">F3994+200</f>
        <v>210</v>
      </c>
      <c r="I3994" s="24">
        <f t="shared" si="204"/>
        <v>140</v>
      </c>
      <c r="J3994" s="24"/>
      <c r="K3994" s="24"/>
      <c r="L3994" s="24"/>
      <c r="M3994" s="24"/>
      <c r="N3994" s="24"/>
      <c r="O3994" s="24"/>
      <c r="P3994" s="2"/>
      <c r="Q3994" s="2"/>
      <c r="R3994" s="2"/>
    </row>
    <row r="3995" spans="3:18">
      <c r="C3995" s="2"/>
      <c r="D3995" s="2">
        <v>7</v>
      </c>
      <c r="E3995" s="23" t="s">
        <v>0</v>
      </c>
      <c r="F3995" s="24">
        <f>F3994</f>
        <v>10</v>
      </c>
      <c r="G3995" s="24">
        <f>L3985-60</f>
        <v>-60</v>
      </c>
      <c r="H3995" s="24">
        <f t="shared" si="204"/>
        <v>210</v>
      </c>
      <c r="I3995" s="24">
        <f t="shared" si="204"/>
        <v>140</v>
      </c>
      <c r="J3995" s="24"/>
      <c r="K3995" s="24"/>
      <c r="L3995" s="24"/>
      <c r="M3995" s="24"/>
      <c r="N3995" s="24"/>
      <c r="O3995" s="24"/>
      <c r="P3995" s="2"/>
      <c r="Q3995" s="2"/>
      <c r="R3995" s="2"/>
    </row>
    <row r="3996" spans="3:18">
      <c r="C3996" s="2"/>
      <c r="D3996" s="2">
        <v>7</v>
      </c>
      <c r="E3996" s="23" t="s">
        <v>0</v>
      </c>
      <c r="F3996" s="24">
        <f>F3994</f>
        <v>10</v>
      </c>
      <c r="G3996" s="24">
        <f>M3985-60</f>
        <v>-60</v>
      </c>
      <c r="H3996" s="24">
        <f t="shared" si="204"/>
        <v>210</v>
      </c>
      <c r="I3996" s="24">
        <f t="shared" si="204"/>
        <v>140</v>
      </c>
      <c r="J3996" s="24"/>
      <c r="P3996" s="2"/>
      <c r="Q3996" s="2"/>
      <c r="R3996" s="2"/>
    </row>
    <row r="3997" spans="3:18">
      <c r="C3997" s="2"/>
      <c r="D3997" s="2">
        <f>ROUNDUP(6+F3997/2,0)</f>
        <v>7</v>
      </c>
      <c r="E3997" s="2" t="s">
        <v>6</v>
      </c>
      <c r="F3997" s="24">
        <f>LEN(G3997)</f>
        <v>2</v>
      </c>
      <c r="G3997" s="24" t="s">
        <v>167</v>
      </c>
      <c r="H3997" s="24">
        <v>1440</v>
      </c>
      <c r="I3997" s="24">
        <v>800</v>
      </c>
      <c r="J3997" s="24"/>
      <c r="K3997" s="24"/>
      <c r="L3997" s="24"/>
      <c r="M3997" s="24"/>
      <c r="N3997" s="24"/>
      <c r="O3997" s="24"/>
      <c r="P3997" s="2"/>
      <c r="Q3997" s="2"/>
      <c r="R3997" s="2"/>
    </row>
    <row r="3998" spans="3:18">
      <c r="C3998" s="2"/>
      <c r="D3998" s="2"/>
      <c r="E3998" s="2" t="s">
        <v>515</v>
      </c>
      <c r="F3998" s="24" t="s">
        <v>522</v>
      </c>
      <c r="G3998" s="24">
        <v>810</v>
      </c>
      <c r="H3998" s="24">
        <v>1070</v>
      </c>
      <c r="I3998" s="24">
        <f>G3998+2000</f>
        <v>2810</v>
      </c>
      <c r="J3998" s="24">
        <f>I3998+2000</f>
        <v>4810</v>
      </c>
      <c r="L3998" s="24"/>
      <c r="M3998" s="24"/>
      <c r="N3998" s="24"/>
      <c r="O3998" s="24"/>
      <c r="P3998" s="2"/>
      <c r="Q3998" s="2"/>
      <c r="R3998" s="2"/>
    </row>
    <row r="3999" spans="3:18">
      <c r="C3999" s="2"/>
      <c r="D3999" s="2">
        <f>ROUNDUP(6+F3999/2,0)</f>
        <v>7</v>
      </c>
      <c r="E3999" s="2" t="s">
        <v>6</v>
      </c>
      <c r="F3999" s="24">
        <f>LEN(G3999)</f>
        <v>2</v>
      </c>
      <c r="G3999" s="24" t="s">
        <v>167</v>
      </c>
      <c r="H3999" s="24">
        <v>300</v>
      </c>
      <c r="I3999" s="24">
        <v>3300</v>
      </c>
      <c r="J3999" s="24"/>
      <c r="K3999" s="24"/>
      <c r="L3999" s="24"/>
      <c r="M3999" s="24"/>
      <c r="N3999" s="24"/>
      <c r="O3999" s="24"/>
      <c r="P3999" s="2"/>
      <c r="Q3999" s="2"/>
      <c r="R3999" s="2"/>
    </row>
    <row r="4000" spans="3:18">
      <c r="D4000" s="2">
        <f>ROUNDUP(6+F4000/2,0)</f>
        <v>7</v>
      </c>
      <c r="E4000" s="2" t="s">
        <v>6</v>
      </c>
      <c r="F4000" s="24">
        <f>LEN(G4000)</f>
        <v>2</v>
      </c>
      <c r="G4000" s="24" t="s">
        <v>167</v>
      </c>
      <c r="H4000" s="24">
        <v>780</v>
      </c>
      <c r="I4000" s="24">
        <v>5000</v>
      </c>
      <c r="J4000" s="24"/>
      <c r="K4000" s="24"/>
      <c r="L4000" s="24"/>
      <c r="M4000" s="24"/>
      <c r="N4000" s="24"/>
      <c r="O4000" s="24"/>
    </row>
    <row r="4001" spans="1:19">
      <c r="E4001" s="2" t="s">
        <v>515</v>
      </c>
      <c r="F4001" s="24" t="s">
        <v>614</v>
      </c>
      <c r="G4001" s="24">
        <f>G3985-300</f>
        <v>520</v>
      </c>
      <c r="H4001" s="24">
        <f>H3985</f>
        <v>30</v>
      </c>
      <c r="I4001" s="24">
        <f>I3985-300</f>
        <v>2520</v>
      </c>
      <c r="J4001" s="24">
        <f>J3985-300</f>
        <v>4520</v>
      </c>
    </row>
    <row r="4002" spans="1:19">
      <c r="E4002" s="2"/>
      <c r="F4002" s="24"/>
      <c r="G4002" s="24"/>
      <c r="H4002" s="24"/>
      <c r="I4002" s="24"/>
      <c r="J4002" s="24"/>
    </row>
    <row r="4004" spans="1:19">
      <c r="A4004" s="48" t="s">
        <v>383</v>
      </c>
      <c r="B4004" s="3" t="s">
        <v>514</v>
      </c>
      <c r="C4004" s="2"/>
      <c r="D4004" s="2"/>
      <c r="E4004" s="2">
        <v>52695</v>
      </c>
      <c r="F4004" s="24">
        <v>39622</v>
      </c>
      <c r="G4004" s="24">
        <v>0</v>
      </c>
      <c r="H4004" s="24">
        <v>0</v>
      </c>
      <c r="I4004" s="24">
        <v>0</v>
      </c>
      <c r="J4004" s="24">
        <v>9300</v>
      </c>
      <c r="K4004" s="24">
        <v>2200</v>
      </c>
      <c r="L4004" s="24">
        <v>1440</v>
      </c>
      <c r="M4004" s="24">
        <v>0</v>
      </c>
      <c r="N4004" s="24">
        <v>0</v>
      </c>
      <c r="O4004" s="24" t="e">
        <f ca="1">checksummeint(G4004,H4004,I4004,J4004,K4004,L4004,M4004,N4004)</f>
        <v>#NAME?</v>
      </c>
      <c r="P4004" s="2"/>
      <c r="Q4004" s="2"/>
      <c r="R4004" s="2"/>
      <c r="S4004" s="2"/>
    </row>
    <row r="4005" spans="1:19">
      <c r="C4005" s="2"/>
      <c r="D4005" s="2">
        <v>28</v>
      </c>
      <c r="E4005" s="2" t="s">
        <v>12</v>
      </c>
      <c r="F4005" s="24">
        <v>270</v>
      </c>
      <c r="G4005" s="24">
        <v>0</v>
      </c>
      <c r="H4005" s="24">
        <v>0</v>
      </c>
      <c r="I4005" s="24">
        <v>0</v>
      </c>
      <c r="J4005" s="24">
        <v>400</v>
      </c>
      <c r="K4005" s="24">
        <v>0</v>
      </c>
      <c r="L4005" s="24">
        <v>0</v>
      </c>
      <c r="M4005" s="24">
        <v>0</v>
      </c>
      <c r="N4005" s="24">
        <v>0</v>
      </c>
      <c r="O4005" s="24" t="s">
        <v>19</v>
      </c>
      <c r="P4005" s="2"/>
      <c r="Q4005" s="2"/>
      <c r="R4005" s="2"/>
      <c r="S4005" s="2"/>
    </row>
    <row r="4006" spans="1:19">
      <c r="C4006" s="2">
        <v>1</v>
      </c>
      <c r="D4006" s="2">
        <v>8</v>
      </c>
      <c r="E4006" s="2" t="s">
        <v>14</v>
      </c>
      <c r="F4006" s="24">
        <v>0</v>
      </c>
      <c r="G4006" s="24">
        <v>12</v>
      </c>
      <c r="H4006" s="24">
        <v>0</v>
      </c>
      <c r="I4006" s="24">
        <v>0</v>
      </c>
      <c r="J4006" s="24">
        <v>0</v>
      </c>
      <c r="K4006" s="24"/>
      <c r="L4006" s="24"/>
      <c r="M4006" s="24"/>
      <c r="N4006" s="24"/>
      <c r="O4006" s="24"/>
      <c r="P4006" s="2"/>
      <c r="Q4006" s="2"/>
      <c r="R4006" s="2"/>
      <c r="S4006" s="2"/>
    </row>
    <row r="4007" spans="1:19">
      <c r="C4007" s="2">
        <f>C4006+1</f>
        <v>2</v>
      </c>
      <c r="D4007" s="2">
        <v>7</v>
      </c>
      <c r="E4007" s="2" t="s">
        <v>11</v>
      </c>
      <c r="F4007" s="24">
        <v>0</v>
      </c>
      <c r="G4007" s="24">
        <f>H4007*257</f>
        <v>65535</v>
      </c>
      <c r="H4007" s="24">
        <v>255</v>
      </c>
      <c r="I4007" s="24"/>
      <c r="J4007" s="24"/>
      <c r="K4007" s="24"/>
      <c r="L4007" s="24"/>
      <c r="M4007" s="24"/>
      <c r="N4007" s="24"/>
      <c r="O4007" s="24"/>
      <c r="P4007" s="2"/>
      <c r="Q4007" s="2"/>
      <c r="R4007" s="2"/>
      <c r="S4007" s="2"/>
    </row>
    <row r="4008" spans="1:19">
      <c r="C4008" s="2">
        <f t="shared" ref="C4008:C4013" si="205">C4007+1</f>
        <v>3</v>
      </c>
      <c r="D4008" s="2">
        <v>7</v>
      </c>
      <c r="E4008" s="2" t="s">
        <v>11</v>
      </c>
      <c r="F4008" s="24">
        <v>0</v>
      </c>
      <c r="G4008" s="24">
        <f>H4008*257</f>
        <v>57568</v>
      </c>
      <c r="H4008" s="24">
        <v>224</v>
      </c>
      <c r="I4008" s="24"/>
      <c r="J4008" s="24"/>
      <c r="K4008" s="24"/>
      <c r="L4008" s="24"/>
      <c r="M4008" s="24"/>
      <c r="N4008" s="24"/>
      <c r="O4008" s="24"/>
      <c r="P4008" s="2"/>
      <c r="Q4008" s="2"/>
      <c r="R4008" s="2"/>
      <c r="S4008" s="2"/>
    </row>
    <row r="4009" spans="1:19">
      <c r="C4009" s="2">
        <f t="shared" si="205"/>
        <v>4</v>
      </c>
      <c r="D4009" s="2">
        <v>7</v>
      </c>
      <c r="E4009" s="2" t="s">
        <v>11</v>
      </c>
      <c r="F4009" s="24">
        <v>0</v>
      </c>
      <c r="G4009" s="24">
        <f>H4009*257</f>
        <v>49344</v>
      </c>
      <c r="H4009" s="24">
        <v>192</v>
      </c>
      <c r="I4009" s="24"/>
      <c r="J4009" s="24"/>
      <c r="K4009" s="24"/>
      <c r="L4009" s="24"/>
      <c r="M4009" s="24"/>
      <c r="N4009" s="24"/>
      <c r="O4009" s="24"/>
      <c r="P4009" s="2"/>
      <c r="Q4009" s="2"/>
      <c r="R4009" s="2"/>
      <c r="S4009" s="2"/>
    </row>
    <row r="4010" spans="1:19">
      <c r="C4010" s="2">
        <f t="shared" si="205"/>
        <v>5</v>
      </c>
      <c r="D4010" s="2">
        <v>7</v>
      </c>
      <c r="E4010" s="2" t="s">
        <v>11</v>
      </c>
      <c r="F4010" s="24">
        <v>0</v>
      </c>
      <c r="G4010" s="24">
        <f>H4010*257</f>
        <v>41120</v>
      </c>
      <c r="H4010" s="6">
        <f>H4009-32</f>
        <v>160</v>
      </c>
      <c r="I4010" s="24"/>
      <c r="J4010" s="24"/>
      <c r="K4010" s="24"/>
      <c r="L4010" s="24"/>
      <c r="M4010" s="24"/>
      <c r="N4010" s="24"/>
      <c r="O4010" s="24"/>
      <c r="P4010" s="2"/>
      <c r="Q4010" s="2"/>
      <c r="R4010" s="2"/>
      <c r="S4010" s="2"/>
    </row>
    <row r="4011" spans="1:19">
      <c r="C4011" s="2">
        <f t="shared" si="205"/>
        <v>6</v>
      </c>
      <c r="D4011" s="2">
        <v>7</v>
      </c>
      <c r="E4011" s="2" t="s">
        <v>11</v>
      </c>
      <c r="F4011" s="24">
        <v>0</v>
      </c>
      <c r="G4011" s="24">
        <f>H4011*257</f>
        <v>24672</v>
      </c>
      <c r="H4011" s="6">
        <f>H4010-64</f>
        <v>96</v>
      </c>
      <c r="I4011" s="24"/>
      <c r="J4011" s="24"/>
      <c r="K4011" s="24"/>
      <c r="L4011" s="24"/>
      <c r="M4011" s="24"/>
      <c r="N4011" s="24"/>
      <c r="O4011" s="24"/>
      <c r="P4011" s="2"/>
      <c r="Q4011" s="2"/>
      <c r="R4011" s="2"/>
      <c r="S4011" s="2"/>
    </row>
    <row r="4012" spans="1:19">
      <c r="C4012" s="2">
        <f t="shared" si="205"/>
        <v>7</v>
      </c>
      <c r="D4012" s="2">
        <v>7</v>
      </c>
      <c r="E4012" s="2" t="s">
        <v>11</v>
      </c>
      <c r="F4012" s="24">
        <v>0</v>
      </c>
      <c r="G4012" s="24">
        <v>0</v>
      </c>
      <c r="H4012" s="24">
        <v>0</v>
      </c>
      <c r="I4012" s="24"/>
      <c r="J4012" s="24"/>
      <c r="K4012" s="24"/>
      <c r="L4012" s="24"/>
      <c r="M4012" s="24"/>
      <c r="N4012" s="24"/>
      <c r="O4012" s="24"/>
      <c r="P4012" s="2"/>
      <c r="Q4012" s="2"/>
      <c r="R4012" s="2"/>
      <c r="S4012" s="2"/>
    </row>
    <row r="4013" spans="1:19">
      <c r="C4013" s="2">
        <f t="shared" si="205"/>
        <v>8</v>
      </c>
      <c r="D4013">
        <v>8</v>
      </c>
      <c r="E4013" t="s">
        <v>14</v>
      </c>
      <c r="F4013" s="6">
        <v>2</v>
      </c>
      <c r="G4013" s="6">
        <f>G4006</f>
        <v>12</v>
      </c>
      <c r="H4013" s="6">
        <v>0</v>
      </c>
      <c r="I4013" s="6">
        <v>0</v>
      </c>
      <c r="J4013" s="6">
        <v>0</v>
      </c>
      <c r="K4013" s="24"/>
      <c r="L4013" s="24"/>
      <c r="M4013" s="24"/>
      <c r="N4013" s="24"/>
      <c r="O4013" s="24"/>
      <c r="P4013" s="2"/>
      <c r="Q4013" s="2"/>
      <c r="R4013" s="2"/>
      <c r="S4013" s="2"/>
    </row>
    <row r="4014" spans="1:19">
      <c r="C4014" s="2">
        <v>9</v>
      </c>
      <c r="D4014" s="2">
        <v>7</v>
      </c>
      <c r="E4014" s="2" t="s">
        <v>11</v>
      </c>
      <c r="F4014" s="24">
        <v>0</v>
      </c>
      <c r="G4014" s="24">
        <f>255*256+H4014</f>
        <v>65520</v>
      </c>
      <c r="H4014" s="24">
        <v>240</v>
      </c>
      <c r="I4014" s="24">
        <v>0</v>
      </c>
      <c r="K4014" s="24"/>
      <c r="L4014" s="24"/>
      <c r="M4014" s="24"/>
      <c r="N4014" s="24"/>
      <c r="O4014" s="24"/>
      <c r="P4014" s="2"/>
      <c r="Q4014" s="2"/>
      <c r="R4014" s="2"/>
      <c r="S4014" s="2"/>
    </row>
    <row r="4015" spans="1:19">
      <c r="C4015" s="2">
        <v>10</v>
      </c>
      <c r="D4015" s="2">
        <v>28</v>
      </c>
      <c r="E4015" s="2" t="s">
        <v>12</v>
      </c>
      <c r="F4015" s="24">
        <v>540</v>
      </c>
      <c r="G4015" s="24">
        <v>0</v>
      </c>
      <c r="H4015" s="24">
        <v>0</v>
      </c>
      <c r="I4015" s="24">
        <v>0</v>
      </c>
      <c r="J4015" s="24">
        <v>700</v>
      </c>
      <c r="K4015" s="24">
        <v>0</v>
      </c>
      <c r="L4015" s="24">
        <v>0</v>
      </c>
      <c r="M4015" s="24">
        <v>0</v>
      </c>
      <c r="N4015" s="24">
        <v>0</v>
      </c>
      <c r="O4015" s="24" t="s">
        <v>19</v>
      </c>
      <c r="P4015" s="2"/>
      <c r="Q4015" s="2"/>
      <c r="R4015" s="2"/>
      <c r="S4015" s="2"/>
    </row>
    <row r="4016" spans="1:19">
      <c r="A4016" s="2"/>
      <c r="C4016" s="2"/>
      <c r="D4016" s="2">
        <v>4</v>
      </c>
      <c r="E4016" s="2" t="s">
        <v>15</v>
      </c>
      <c r="F4016" s="24">
        <v>0</v>
      </c>
      <c r="G4016" s="24"/>
      <c r="H4016" s="24"/>
      <c r="I4016" s="24"/>
      <c r="J4016" s="24"/>
      <c r="K4016" s="24"/>
      <c r="L4016" s="24"/>
      <c r="M4016" s="24"/>
      <c r="N4016" s="24"/>
      <c r="O4016" s="24"/>
      <c r="P4016" s="2"/>
      <c r="Q4016" s="2"/>
      <c r="R4016" s="2"/>
      <c r="S4016" s="2"/>
    </row>
    <row r="4017" spans="1:19">
      <c r="C4017" s="2"/>
      <c r="D4017" s="2">
        <v>4</v>
      </c>
      <c r="E4017" s="2" t="s">
        <v>15</v>
      </c>
      <c r="F4017" s="24">
        <v>1</v>
      </c>
      <c r="G4017" s="24"/>
      <c r="H4017" s="24"/>
      <c r="I4017" s="24"/>
      <c r="J4017" s="24"/>
      <c r="K4017" s="24"/>
      <c r="L4017" s="24"/>
      <c r="M4017" s="24"/>
      <c r="N4017" s="24"/>
      <c r="O4017" s="24"/>
      <c r="P4017" s="2"/>
      <c r="Q4017" s="2"/>
      <c r="R4017" s="2"/>
      <c r="S4017" s="2"/>
    </row>
    <row r="4018" spans="1:19">
      <c r="C4018" s="2"/>
      <c r="D4018" s="2">
        <v>4</v>
      </c>
      <c r="E4018" s="2" t="s">
        <v>15</v>
      </c>
      <c r="F4018" s="24">
        <v>2</v>
      </c>
      <c r="G4018" s="24"/>
      <c r="H4018" s="24"/>
      <c r="I4018" s="24"/>
      <c r="J4018" s="24"/>
      <c r="K4018" s="24"/>
      <c r="L4018" s="24"/>
      <c r="M4018" s="24"/>
      <c r="N4018" s="24"/>
      <c r="O4018" s="24"/>
      <c r="P4018" s="2"/>
      <c r="Q4018" s="2"/>
      <c r="R4018" s="2"/>
      <c r="S4018" s="2"/>
    </row>
    <row r="4019" spans="1:19">
      <c r="C4019" s="2"/>
      <c r="D4019">
        <v>5</v>
      </c>
      <c r="E4019" t="s">
        <v>59</v>
      </c>
      <c r="F4019" s="6">
        <v>1</v>
      </c>
      <c r="G4019" s="6">
        <v>0</v>
      </c>
      <c r="H4019" s="24"/>
      <c r="I4019" s="24"/>
      <c r="J4019" s="24"/>
      <c r="K4019" s="24"/>
      <c r="L4019" s="24"/>
      <c r="M4019" s="24"/>
      <c r="N4019" s="24"/>
      <c r="O4019" s="24"/>
      <c r="P4019" s="2"/>
      <c r="Q4019" s="2"/>
      <c r="R4019" s="2"/>
      <c r="S4019" s="2"/>
    </row>
    <row r="4020" spans="1:19">
      <c r="A4020" t="s">
        <v>506</v>
      </c>
      <c r="B4020" s="2">
        <f>B4021</f>
        <v>750</v>
      </c>
      <c r="C4020" s="2">
        <f>C4021</f>
        <v>1750</v>
      </c>
      <c r="D4020" s="2">
        <f>F4020*2+4</f>
        <v>16</v>
      </c>
      <c r="E4020" s="2" t="s">
        <v>4</v>
      </c>
      <c r="F4020" s="24">
        <v>6</v>
      </c>
      <c r="G4020" s="24">
        <f>B4020</f>
        <v>750</v>
      </c>
      <c r="H4020" s="24">
        <f>B4023</f>
        <v>250</v>
      </c>
      <c r="I4020" s="24">
        <f>C4020</f>
        <v>1750</v>
      </c>
      <c r="J4020" s="24">
        <f>C4023</f>
        <v>250</v>
      </c>
      <c r="K4020" s="24">
        <f>C4021</f>
        <v>1750</v>
      </c>
      <c r="L4020" s="24">
        <f>C4024</f>
        <v>1250</v>
      </c>
      <c r="M4020" s="24">
        <f>B4022</f>
        <v>1250</v>
      </c>
      <c r="N4020" s="24">
        <f>B4025</f>
        <v>1750</v>
      </c>
      <c r="O4020" s="24">
        <f>A4022</f>
        <v>250</v>
      </c>
      <c r="P4020" s="2">
        <f>A4025</f>
        <v>1750</v>
      </c>
      <c r="Q4020" s="2">
        <f>A4021</f>
        <v>250</v>
      </c>
      <c r="R4020" s="2">
        <f>A4024</f>
        <v>750</v>
      </c>
      <c r="S4020" s="2"/>
    </row>
    <row r="4021" spans="1:19">
      <c r="A4021">
        <f>A4022</f>
        <v>250</v>
      </c>
      <c r="B4021" s="4">
        <v>750</v>
      </c>
      <c r="C4021" s="2">
        <f>B4021+1000</f>
        <v>1750</v>
      </c>
      <c r="D4021" s="2">
        <f>F4021*2+4</f>
        <v>16</v>
      </c>
      <c r="E4021" s="2" t="s">
        <v>4</v>
      </c>
      <c r="F4021" s="24">
        <v>6</v>
      </c>
      <c r="G4021" s="24">
        <f>G4020+2000</f>
        <v>2750</v>
      </c>
      <c r="H4021" s="24">
        <f>H4020</f>
        <v>250</v>
      </c>
      <c r="I4021" s="24">
        <f>I4020+2000</f>
        <v>3750</v>
      </c>
      <c r="J4021" s="24">
        <f>J4020</f>
        <v>250</v>
      </c>
      <c r="K4021" s="24">
        <f>K4020+2000</f>
        <v>3750</v>
      </c>
      <c r="L4021" s="24">
        <f>L4020</f>
        <v>1250</v>
      </c>
      <c r="M4021" s="24">
        <f>M4020+2000</f>
        <v>3250</v>
      </c>
      <c r="N4021" s="24">
        <f>N4020</f>
        <v>1750</v>
      </c>
      <c r="O4021" s="24">
        <f>O4020+2000</f>
        <v>2250</v>
      </c>
      <c r="P4021" s="2">
        <f>P4020</f>
        <v>1750</v>
      </c>
      <c r="Q4021" s="2">
        <f>Q4020+2000</f>
        <v>2250</v>
      </c>
      <c r="R4021" s="2">
        <f>R4020</f>
        <v>750</v>
      </c>
      <c r="S4021" s="2"/>
    </row>
    <row r="4022" spans="1:19">
      <c r="A4022">
        <f>B4021-500</f>
        <v>250</v>
      </c>
      <c r="B4022">
        <f>A4022+1000</f>
        <v>1250</v>
      </c>
      <c r="C4022" s="2"/>
      <c r="D4022" s="2">
        <f>F4022*2+4</f>
        <v>16</v>
      </c>
      <c r="E4022" s="2" t="s">
        <v>4</v>
      </c>
      <c r="F4022" s="24">
        <v>6</v>
      </c>
      <c r="G4022" s="24">
        <f>G4021+2000</f>
        <v>4750</v>
      </c>
      <c r="H4022" s="24">
        <f>H4021</f>
        <v>250</v>
      </c>
      <c r="I4022" s="24">
        <f>I4021+2000</f>
        <v>5750</v>
      </c>
      <c r="J4022" s="24">
        <f>J4021</f>
        <v>250</v>
      </c>
      <c r="K4022" s="24">
        <f>K4021+2000</f>
        <v>5750</v>
      </c>
      <c r="L4022" s="24">
        <f>L4021</f>
        <v>1250</v>
      </c>
      <c r="M4022" s="24">
        <f>M4021+2000</f>
        <v>5250</v>
      </c>
      <c r="N4022" s="24">
        <f>N4021</f>
        <v>1750</v>
      </c>
      <c r="O4022" s="24">
        <f>O4021+2000</f>
        <v>4250</v>
      </c>
      <c r="P4022" s="2">
        <f>P4021</f>
        <v>1750</v>
      </c>
      <c r="Q4022" s="2">
        <f>Q4021+2000</f>
        <v>4250</v>
      </c>
      <c r="R4022" s="2">
        <f>R4021</f>
        <v>750</v>
      </c>
      <c r="S4022" s="2"/>
    </row>
    <row r="4023" spans="1:19">
      <c r="A4023" t="s">
        <v>505</v>
      </c>
      <c r="B4023">
        <f>B4024-1000</f>
        <v>250</v>
      </c>
      <c r="C4023" s="2">
        <f>C4024-1000</f>
        <v>250</v>
      </c>
      <c r="D4023" s="2">
        <f>F4023*2+4</f>
        <v>16</v>
      </c>
      <c r="E4023" s="2" t="s">
        <v>4</v>
      </c>
      <c r="F4023" s="24">
        <v>6</v>
      </c>
      <c r="G4023" s="24">
        <f>G4022+2000</f>
        <v>6750</v>
      </c>
      <c r="H4023" s="24">
        <f>H4022</f>
        <v>250</v>
      </c>
      <c r="I4023" s="24">
        <f>I4022+2000</f>
        <v>7750</v>
      </c>
      <c r="J4023" s="24">
        <f>J4022</f>
        <v>250</v>
      </c>
      <c r="K4023" s="24">
        <f>K4022+2000</f>
        <v>7750</v>
      </c>
      <c r="L4023" s="24">
        <f>L4022</f>
        <v>1250</v>
      </c>
      <c r="M4023" s="24">
        <f>M4022+2000</f>
        <v>7250</v>
      </c>
      <c r="N4023" s="24">
        <f>N4022</f>
        <v>1750</v>
      </c>
      <c r="O4023" s="24">
        <f>O4022+2000</f>
        <v>6250</v>
      </c>
      <c r="P4023" s="2">
        <f>P4022</f>
        <v>1750</v>
      </c>
      <c r="Q4023" s="2">
        <f>Q4022+2000</f>
        <v>6250</v>
      </c>
      <c r="R4023" s="2">
        <f>R4022</f>
        <v>750</v>
      </c>
      <c r="S4023" s="2"/>
    </row>
    <row r="4024" spans="1:19">
      <c r="A4024">
        <f>A4025-1000</f>
        <v>750</v>
      </c>
      <c r="B4024" s="4">
        <v>1250</v>
      </c>
      <c r="C4024" s="2">
        <f>B4024</f>
        <v>1250</v>
      </c>
      <c r="D4024" s="2">
        <f>F4024*2+4</f>
        <v>16</v>
      </c>
      <c r="E4024" s="2" t="s">
        <v>4</v>
      </c>
      <c r="F4024" s="24">
        <v>6</v>
      </c>
      <c r="G4024" s="24">
        <f>G4023+2000</f>
        <v>8750</v>
      </c>
      <c r="H4024" s="24">
        <f>H4023</f>
        <v>250</v>
      </c>
      <c r="I4024" s="24">
        <f>I4023+2000</f>
        <v>9750</v>
      </c>
      <c r="J4024" s="24">
        <f>J4023</f>
        <v>250</v>
      </c>
      <c r="K4024" s="24">
        <f>K4023+2000</f>
        <v>9750</v>
      </c>
      <c r="L4024" s="24">
        <f>L4023</f>
        <v>1250</v>
      </c>
      <c r="M4024" s="24">
        <f>M4023+2000</f>
        <v>9250</v>
      </c>
      <c r="N4024" s="24">
        <f>N4023</f>
        <v>1750</v>
      </c>
      <c r="O4024" s="24">
        <f>O4023+2000</f>
        <v>8250</v>
      </c>
      <c r="P4024" s="2">
        <f>P4023</f>
        <v>1750</v>
      </c>
      <c r="Q4024" s="2">
        <f>Q4023+2000</f>
        <v>8250</v>
      </c>
      <c r="R4024" s="2">
        <f>R4023</f>
        <v>750</v>
      </c>
      <c r="S4024" s="2"/>
    </row>
    <row r="4025" spans="1:19">
      <c r="A4025">
        <f>B4024+500</f>
        <v>1750</v>
      </c>
      <c r="B4025">
        <f>A4025</f>
        <v>1750</v>
      </c>
      <c r="C4025" s="2"/>
      <c r="D4025" s="2">
        <v>4</v>
      </c>
      <c r="E4025" s="2" t="s">
        <v>15</v>
      </c>
      <c r="F4025" s="24">
        <v>3</v>
      </c>
      <c r="G4025" s="24"/>
      <c r="H4025" s="24"/>
      <c r="I4025" s="24"/>
      <c r="J4025" s="24"/>
      <c r="K4025" s="24"/>
      <c r="L4025" s="24"/>
      <c r="M4025" s="24"/>
      <c r="N4025" s="24"/>
      <c r="O4025" s="24"/>
      <c r="P4025" s="2"/>
      <c r="Q4025" s="2"/>
      <c r="R4025" s="2"/>
      <c r="S4025" s="2"/>
    </row>
    <row r="4026" spans="1:19">
      <c r="A4026" s="13"/>
      <c r="B4026" s="14"/>
      <c r="C4026" s="14"/>
      <c r="D4026" s="2">
        <f>F4026*2+4</f>
        <v>16</v>
      </c>
      <c r="E4026" s="2" t="s">
        <v>4</v>
      </c>
      <c r="F4026" s="24">
        <v>6</v>
      </c>
      <c r="G4026" s="24">
        <f>G4020</f>
        <v>750</v>
      </c>
      <c r="H4026" s="24">
        <f>H4020+200</f>
        <v>450</v>
      </c>
      <c r="I4026" s="24">
        <f>I4020</f>
        <v>1750</v>
      </c>
      <c r="J4026" s="24">
        <f>J4020+200</f>
        <v>450</v>
      </c>
      <c r="K4026" s="24">
        <f t="shared" ref="K4026:Q4026" si="206">K4020</f>
        <v>1750</v>
      </c>
      <c r="L4026" s="24">
        <f t="shared" si="206"/>
        <v>1250</v>
      </c>
      <c r="M4026" s="24">
        <f t="shared" si="206"/>
        <v>1250</v>
      </c>
      <c r="N4026" s="24">
        <f t="shared" si="206"/>
        <v>1750</v>
      </c>
      <c r="O4026" s="24">
        <f t="shared" si="206"/>
        <v>250</v>
      </c>
      <c r="P4026" s="2">
        <f t="shared" si="206"/>
        <v>1750</v>
      </c>
      <c r="Q4026" s="2">
        <f t="shared" si="206"/>
        <v>250</v>
      </c>
      <c r="R4026" s="2">
        <f>R4020+200</f>
        <v>950</v>
      </c>
      <c r="S4026" s="2"/>
    </row>
    <row r="4027" spans="1:19">
      <c r="A4027" s="13"/>
      <c r="B4027" s="28"/>
      <c r="C4027" s="14"/>
      <c r="D4027" s="2">
        <f>F4027*2+4</f>
        <v>16</v>
      </c>
      <c r="E4027" s="2" t="s">
        <v>4</v>
      </c>
      <c r="F4027" s="24">
        <v>6</v>
      </c>
      <c r="G4027" s="24">
        <f>G4026+4000</f>
        <v>4750</v>
      </c>
      <c r="H4027" s="24">
        <f>H4026</f>
        <v>450</v>
      </c>
      <c r="I4027" s="24">
        <f>I4026+4000</f>
        <v>5750</v>
      </c>
      <c r="J4027" s="24">
        <f>J4026</f>
        <v>450</v>
      </c>
      <c r="K4027" s="24">
        <f>K4026+4000</f>
        <v>5750</v>
      </c>
      <c r="L4027" s="24">
        <f>L4026</f>
        <v>1250</v>
      </c>
      <c r="M4027" s="24">
        <f>M4026+4000</f>
        <v>5250</v>
      </c>
      <c r="N4027" s="24">
        <f>N4026</f>
        <v>1750</v>
      </c>
      <c r="O4027" s="24">
        <f>O4026+4000</f>
        <v>4250</v>
      </c>
      <c r="P4027" s="2">
        <f>P4026</f>
        <v>1750</v>
      </c>
      <c r="Q4027" s="2">
        <f>Q4026+4000</f>
        <v>4250</v>
      </c>
      <c r="R4027" s="2">
        <f>R4026</f>
        <v>950</v>
      </c>
      <c r="S4027" s="2"/>
    </row>
    <row r="4028" spans="1:19">
      <c r="A4028" s="13"/>
      <c r="B4028" s="13"/>
      <c r="C4028" s="14"/>
      <c r="D4028" s="2">
        <f>F4028*2+4</f>
        <v>14</v>
      </c>
      <c r="E4028" s="2" t="s">
        <v>4</v>
      </c>
      <c r="F4028" s="24">
        <v>5</v>
      </c>
      <c r="G4028" s="24">
        <f>G4031+6000</f>
        <v>6250</v>
      </c>
      <c r="H4028" s="24">
        <f>H4031</f>
        <v>1750</v>
      </c>
      <c r="I4028" s="24">
        <f>I4031+6000</f>
        <v>6750</v>
      </c>
      <c r="J4028" s="24">
        <f>J4031</f>
        <v>1750</v>
      </c>
      <c r="K4028" s="24">
        <f>K4031+6000</f>
        <v>7250</v>
      </c>
      <c r="L4028" s="24">
        <f>L4031</f>
        <v>1250</v>
      </c>
      <c r="M4028" s="24">
        <f>M4031+6000</f>
        <v>6750</v>
      </c>
      <c r="N4028" s="24">
        <f>N4031</f>
        <v>750</v>
      </c>
      <c r="O4028" s="24">
        <f>O4031+6000</f>
        <v>6250</v>
      </c>
      <c r="P4028" s="2">
        <f>P4031</f>
        <v>1250</v>
      </c>
      <c r="Q4028" s="2"/>
      <c r="R4028" s="2"/>
      <c r="S4028" s="2"/>
    </row>
    <row r="4029" spans="1:19">
      <c r="A4029" s="13"/>
      <c r="B4029" s="13"/>
      <c r="C4029" s="14"/>
      <c r="D4029" s="2">
        <f>F4029*2+4</f>
        <v>10</v>
      </c>
      <c r="E4029" s="2" t="s">
        <v>4</v>
      </c>
      <c r="F4029" s="24">
        <v>3</v>
      </c>
      <c r="G4029" s="24">
        <f>G4034+8000</f>
        <v>8950</v>
      </c>
      <c r="H4029" s="24">
        <f>H4034</f>
        <v>1250</v>
      </c>
      <c r="I4029" s="24">
        <f>I4034+8000</f>
        <v>8750</v>
      </c>
      <c r="J4029" s="24">
        <f>J4034</f>
        <v>1050</v>
      </c>
      <c r="K4029" s="24">
        <f>K4034+8000</f>
        <v>8650</v>
      </c>
      <c r="L4029" s="24">
        <f>L4034</f>
        <v>1350</v>
      </c>
      <c r="M4029" s="24"/>
      <c r="N4029" s="24"/>
      <c r="O4029" s="24"/>
      <c r="P4029" s="2"/>
      <c r="Q4029" s="2"/>
      <c r="R4029" s="2"/>
      <c r="S4029" s="2"/>
    </row>
    <row r="4030" spans="1:19">
      <c r="A4030" s="13"/>
      <c r="B4030" s="28"/>
      <c r="C4030" s="14"/>
      <c r="D4030" s="2">
        <v>4</v>
      </c>
      <c r="E4030" s="2" t="s">
        <v>15</v>
      </c>
      <c r="F4030" s="24">
        <v>4</v>
      </c>
      <c r="G4030" s="24"/>
      <c r="H4030" s="24"/>
      <c r="I4030" s="24"/>
      <c r="J4030" s="24"/>
      <c r="K4030" s="24"/>
      <c r="L4030" s="24"/>
      <c r="M4030" s="24"/>
      <c r="N4030" s="24"/>
      <c r="O4030" s="24"/>
      <c r="P4030" s="2"/>
      <c r="Q4030" s="2"/>
      <c r="R4030" s="2"/>
      <c r="S4030" s="2"/>
    </row>
    <row r="4031" spans="1:19">
      <c r="A4031" s="13"/>
      <c r="B4031" s="13"/>
      <c r="C4031" s="14"/>
      <c r="D4031" s="2">
        <f>F4031*2+4</f>
        <v>14</v>
      </c>
      <c r="E4031" s="2" t="s">
        <v>4</v>
      </c>
      <c r="F4031" s="24">
        <v>5</v>
      </c>
      <c r="G4031" s="24">
        <f>A4022</f>
        <v>250</v>
      </c>
      <c r="H4031" s="24">
        <f>A4025</f>
        <v>1750</v>
      </c>
      <c r="I4031" s="24">
        <f>B4022-500</f>
        <v>750</v>
      </c>
      <c r="J4031" s="24">
        <f>B4025</f>
        <v>1750</v>
      </c>
      <c r="K4031" s="24">
        <f>C4021-500</f>
        <v>1250</v>
      </c>
      <c r="L4031" s="24">
        <f>C4024</f>
        <v>1250</v>
      </c>
      <c r="M4031" s="24">
        <f>B4020</f>
        <v>750</v>
      </c>
      <c r="N4031" s="24">
        <f>B4023+500</f>
        <v>750</v>
      </c>
      <c r="O4031" s="24">
        <f>A4021</f>
        <v>250</v>
      </c>
      <c r="P4031" s="2">
        <f>A4024+500</f>
        <v>1250</v>
      </c>
      <c r="Q4031" s="2"/>
      <c r="R4031" s="2"/>
      <c r="S4031" s="2"/>
    </row>
    <row r="4032" spans="1:19">
      <c r="A4032" s="13"/>
      <c r="B4032" s="14"/>
      <c r="C4032" s="14"/>
      <c r="D4032" s="2">
        <v>4</v>
      </c>
      <c r="E4032" s="2" t="s">
        <v>15</v>
      </c>
      <c r="F4032" s="24">
        <v>3</v>
      </c>
      <c r="G4032" s="24"/>
      <c r="H4032" s="24"/>
      <c r="I4032" s="24"/>
      <c r="J4032" s="24"/>
      <c r="K4032" s="24"/>
      <c r="L4032" s="24"/>
      <c r="M4032" s="24"/>
      <c r="N4032" s="24"/>
      <c r="O4032" s="24"/>
      <c r="P4032" s="2"/>
      <c r="Q4032" s="2"/>
      <c r="R4032" s="2"/>
      <c r="S4032" s="2"/>
    </row>
    <row r="4033" spans="1:19">
      <c r="A4033" s="13"/>
      <c r="B4033" s="28"/>
      <c r="C4033" s="14"/>
      <c r="D4033" s="2">
        <v>4</v>
      </c>
      <c r="E4033" s="2" t="s">
        <v>15</v>
      </c>
      <c r="F4033" s="24">
        <v>5</v>
      </c>
      <c r="G4033" s="24"/>
      <c r="H4033" s="24"/>
      <c r="I4033" s="24"/>
      <c r="J4033" s="24"/>
      <c r="K4033" s="24"/>
      <c r="L4033" s="24"/>
      <c r="M4033" s="24"/>
      <c r="N4033" s="24"/>
      <c r="O4033" s="24"/>
      <c r="P4033" s="2"/>
      <c r="Q4033" s="2"/>
      <c r="R4033" s="2"/>
      <c r="S4033" s="2"/>
    </row>
    <row r="4034" spans="1:19">
      <c r="A4034" s="13"/>
      <c r="B4034" s="13"/>
      <c r="C4034" s="14"/>
      <c r="D4034" s="2">
        <f>F4034*2+4</f>
        <v>10</v>
      </c>
      <c r="E4034" s="2" t="s">
        <v>4</v>
      </c>
      <c r="F4034" s="24">
        <v>3</v>
      </c>
      <c r="G4034" s="24">
        <f>B4021+200</f>
        <v>950</v>
      </c>
      <c r="H4034" s="24">
        <f>B4024</f>
        <v>1250</v>
      </c>
      <c r="I4034" s="24">
        <f>B4021</f>
        <v>750</v>
      </c>
      <c r="J4034" s="24">
        <f>B4024-200</f>
        <v>1050</v>
      </c>
      <c r="K4034" s="24">
        <f>B4021-100</f>
        <v>650</v>
      </c>
      <c r="L4034" s="24">
        <f>B4024+100</f>
        <v>1350</v>
      </c>
      <c r="M4034" s="24"/>
      <c r="N4034" s="24"/>
      <c r="O4034" s="24"/>
      <c r="P4034" s="2"/>
      <c r="Q4034" s="2"/>
      <c r="R4034" s="2"/>
      <c r="S4034" s="2"/>
    </row>
    <row r="4035" spans="1:19">
      <c r="A4035" s="13"/>
      <c r="B4035" s="13"/>
      <c r="C4035" s="14"/>
      <c r="D4035" s="2">
        <v>4</v>
      </c>
      <c r="E4035" s="2" t="s">
        <v>15</v>
      </c>
      <c r="F4035" s="24">
        <v>8</v>
      </c>
      <c r="G4035" s="24"/>
      <c r="H4035" s="24"/>
      <c r="I4035" s="24"/>
      <c r="J4035" s="24"/>
      <c r="K4035" s="24"/>
      <c r="L4035" s="24"/>
      <c r="M4035" s="24"/>
      <c r="N4035" s="24"/>
      <c r="O4035" s="24"/>
      <c r="P4035" s="2"/>
      <c r="Q4035" s="2"/>
      <c r="R4035" s="2"/>
      <c r="S4035" s="2"/>
    </row>
    <row r="4036" spans="1:19">
      <c r="A4036" s="13"/>
      <c r="B4036" s="28"/>
      <c r="C4036" s="14"/>
      <c r="D4036" s="2">
        <f t="shared" ref="D4036:D4045" si="207">F4036*2+4</f>
        <v>10</v>
      </c>
      <c r="E4036" s="3" t="s">
        <v>1</v>
      </c>
      <c r="F4036" s="24">
        <v>3</v>
      </c>
      <c r="G4036" s="24">
        <f>I4026</f>
        <v>1750</v>
      </c>
      <c r="H4036" s="24">
        <f>J4026</f>
        <v>450</v>
      </c>
      <c r="I4036" s="24">
        <f>G4036-500</f>
        <v>1250</v>
      </c>
      <c r="J4036" s="24">
        <f>H4036+500</f>
        <v>950</v>
      </c>
      <c r="K4036" s="24">
        <f>I4036-1000</f>
        <v>250</v>
      </c>
      <c r="L4036" s="24">
        <f>J4036</f>
        <v>950</v>
      </c>
      <c r="M4036" s="24"/>
      <c r="N4036" s="24"/>
      <c r="O4036" s="24"/>
      <c r="P4036" s="2"/>
      <c r="Q4036" s="2"/>
      <c r="R4036" s="2"/>
      <c r="S4036" s="2"/>
    </row>
    <row r="4037" spans="1:19">
      <c r="A4037" s="13"/>
      <c r="B4037" s="13"/>
      <c r="C4037" s="14"/>
      <c r="D4037" s="2">
        <f t="shared" si="207"/>
        <v>10</v>
      </c>
      <c r="E4037" s="3" t="s">
        <v>1</v>
      </c>
      <c r="F4037" s="24">
        <v>3</v>
      </c>
      <c r="G4037" s="24">
        <f>G4021</f>
        <v>2750</v>
      </c>
      <c r="H4037" s="24">
        <f>H4021</f>
        <v>250</v>
      </c>
      <c r="I4037" s="24">
        <f>G4037</f>
        <v>2750</v>
      </c>
      <c r="J4037" s="24">
        <f>L4037</f>
        <v>1250</v>
      </c>
      <c r="K4037" s="24">
        <f>K4021</f>
        <v>3750</v>
      </c>
      <c r="L4037" s="24">
        <f>L4021</f>
        <v>1250</v>
      </c>
      <c r="M4037" s="24"/>
      <c r="N4037" s="24"/>
      <c r="O4037" s="24"/>
      <c r="P4037" s="2"/>
      <c r="Q4037" s="2"/>
      <c r="R4037" s="2"/>
      <c r="S4037" s="2"/>
    </row>
    <row r="4038" spans="1:19">
      <c r="C4038" s="2"/>
      <c r="D4038" s="2">
        <f t="shared" si="207"/>
        <v>8</v>
      </c>
      <c r="E4038" s="3" t="s">
        <v>1</v>
      </c>
      <c r="F4038" s="24">
        <v>2</v>
      </c>
      <c r="G4038" s="24">
        <f>O4021</f>
        <v>2250</v>
      </c>
      <c r="H4038" s="24">
        <f>P4021</f>
        <v>1750</v>
      </c>
      <c r="I4038" s="24">
        <f>I4037</f>
        <v>2750</v>
      </c>
      <c r="J4038" s="24">
        <f>J4037</f>
        <v>1250</v>
      </c>
      <c r="K4038" s="24"/>
      <c r="L4038" s="24"/>
      <c r="M4038" s="24"/>
      <c r="N4038" s="24"/>
      <c r="O4038" s="24"/>
      <c r="P4038" s="2"/>
      <c r="Q4038" s="2"/>
      <c r="R4038" s="2"/>
      <c r="S4038" s="2"/>
    </row>
    <row r="4039" spans="1:19">
      <c r="C4039" s="2"/>
      <c r="D4039" s="2">
        <f t="shared" si="207"/>
        <v>10</v>
      </c>
      <c r="E4039" s="3" t="s">
        <v>1</v>
      </c>
      <c r="F4039" s="24">
        <v>3</v>
      </c>
      <c r="G4039" s="24">
        <f>G4027</f>
        <v>4750</v>
      </c>
      <c r="H4039" s="24">
        <f>H4037</f>
        <v>250</v>
      </c>
      <c r="I4039" s="24">
        <f>G4039</f>
        <v>4750</v>
      </c>
      <c r="J4039" s="24">
        <f>L4039</f>
        <v>1250</v>
      </c>
      <c r="K4039" s="24">
        <f>K4037+2000</f>
        <v>5750</v>
      </c>
      <c r="L4039" s="24">
        <f>L4027</f>
        <v>1250</v>
      </c>
      <c r="M4039" s="24"/>
      <c r="N4039" s="24"/>
      <c r="O4039" s="24"/>
      <c r="P4039" s="2"/>
      <c r="Q4039" s="2"/>
      <c r="R4039" s="2"/>
      <c r="S4039" s="2"/>
    </row>
    <row r="4040" spans="1:19">
      <c r="C4040" s="2"/>
      <c r="D4040" s="2">
        <f t="shared" si="207"/>
        <v>8</v>
      </c>
      <c r="E4040" s="3" t="s">
        <v>1</v>
      </c>
      <c r="F4040" s="24">
        <v>2</v>
      </c>
      <c r="G4040" s="24">
        <f>O4027</f>
        <v>4250</v>
      </c>
      <c r="H4040" s="24">
        <f>P4027</f>
        <v>1750</v>
      </c>
      <c r="I4040" s="24">
        <f>I4039</f>
        <v>4750</v>
      </c>
      <c r="J4040" s="24">
        <f>J4039</f>
        <v>1250</v>
      </c>
      <c r="K4040" s="24"/>
      <c r="L4040" s="24"/>
      <c r="M4040" s="24"/>
      <c r="N4040" s="24"/>
      <c r="O4040" s="24"/>
      <c r="P4040" s="2"/>
      <c r="Q4040" s="2"/>
      <c r="R4040" s="2"/>
      <c r="S4040" s="2"/>
    </row>
    <row r="4041" spans="1:19">
      <c r="C4041" s="2"/>
      <c r="D4041" s="2">
        <f t="shared" si="207"/>
        <v>10</v>
      </c>
      <c r="E4041" s="3" t="s">
        <v>1</v>
      </c>
      <c r="F4041" s="24">
        <v>3</v>
      </c>
      <c r="G4041" s="24">
        <f>M4028</f>
        <v>6750</v>
      </c>
      <c r="H4041" s="24">
        <f>H4039</f>
        <v>250</v>
      </c>
      <c r="I4041" s="24">
        <f>G4041</f>
        <v>6750</v>
      </c>
      <c r="J4041" s="24">
        <f>L4041</f>
        <v>1250</v>
      </c>
      <c r="K4041" s="24">
        <f>K4039+2000</f>
        <v>7750</v>
      </c>
      <c r="L4041" s="24">
        <f>L4028</f>
        <v>1250</v>
      </c>
      <c r="M4041" s="24"/>
      <c r="N4041" s="24"/>
      <c r="O4041" s="24"/>
      <c r="P4041" s="2"/>
      <c r="Q4041" s="2"/>
      <c r="R4041" s="2"/>
      <c r="S4041" s="2"/>
    </row>
    <row r="4042" spans="1:19">
      <c r="C4042" s="2"/>
      <c r="D4042" s="2">
        <f t="shared" si="207"/>
        <v>8</v>
      </c>
      <c r="E4042" s="3" t="s">
        <v>1</v>
      </c>
      <c r="F4042" s="24">
        <v>2</v>
      </c>
      <c r="G4042" s="24">
        <f>G4028</f>
        <v>6250</v>
      </c>
      <c r="H4042" s="24">
        <f>H4028</f>
        <v>1750</v>
      </c>
      <c r="I4042" s="24">
        <f>I4041</f>
        <v>6750</v>
      </c>
      <c r="J4042" s="24">
        <f>J4041</f>
        <v>1250</v>
      </c>
      <c r="K4042" s="24"/>
      <c r="L4042" s="24"/>
      <c r="M4042" s="24"/>
      <c r="N4042" s="24"/>
      <c r="O4042" s="24"/>
      <c r="P4042" s="2"/>
      <c r="Q4042" s="2"/>
      <c r="R4042" s="2"/>
      <c r="S4042" s="2"/>
    </row>
    <row r="4043" spans="1:19">
      <c r="C4043" s="2"/>
      <c r="D4043" s="2">
        <f t="shared" si="207"/>
        <v>10</v>
      </c>
      <c r="E4043" s="3" t="s">
        <v>1</v>
      </c>
      <c r="F4043" s="24">
        <v>3</v>
      </c>
      <c r="G4043" s="24">
        <f>I4029</f>
        <v>8750</v>
      </c>
      <c r="H4043" s="24">
        <f>H4041</f>
        <v>250</v>
      </c>
      <c r="I4043" s="24">
        <f>G4043</f>
        <v>8750</v>
      </c>
      <c r="J4043" s="24">
        <f>L4043</f>
        <v>1250</v>
      </c>
      <c r="K4043" s="24">
        <f>K4041+2000</f>
        <v>9750</v>
      </c>
      <c r="L4043" s="24">
        <f>H4029</f>
        <v>1250</v>
      </c>
      <c r="M4043" s="24"/>
      <c r="N4043" s="24"/>
      <c r="O4043" s="24"/>
      <c r="P4043" s="2"/>
      <c r="Q4043" s="2"/>
      <c r="R4043" s="2"/>
      <c r="S4043" s="2"/>
    </row>
    <row r="4044" spans="1:19">
      <c r="C4044" s="2"/>
      <c r="D4044" s="2">
        <f t="shared" si="207"/>
        <v>8</v>
      </c>
      <c r="E4044" s="3" t="s">
        <v>1</v>
      </c>
      <c r="F4044" s="24">
        <v>2</v>
      </c>
      <c r="G4044" s="24">
        <f>G4042+2000</f>
        <v>8250</v>
      </c>
      <c r="H4044" s="24">
        <f>H4042</f>
        <v>1750</v>
      </c>
      <c r="I4044" s="24">
        <f>I4043</f>
        <v>8750</v>
      </c>
      <c r="J4044" s="24">
        <f>J4043</f>
        <v>1250</v>
      </c>
      <c r="K4044" s="24"/>
      <c r="L4044" s="24"/>
      <c r="M4044" s="24"/>
      <c r="N4044" s="24"/>
      <c r="O4044" s="24"/>
      <c r="P4044" s="2"/>
      <c r="Q4044" s="2"/>
      <c r="R4044" s="2"/>
      <c r="S4044" s="2"/>
    </row>
    <row r="4045" spans="1:19">
      <c r="C4045" s="2"/>
      <c r="D4045" s="2">
        <f t="shared" si="207"/>
        <v>8</v>
      </c>
      <c r="E4045" s="3" t="s">
        <v>1</v>
      </c>
      <c r="F4045" s="24">
        <v>2</v>
      </c>
      <c r="G4045" s="24">
        <f>I4031</f>
        <v>750</v>
      </c>
      <c r="H4045" s="24">
        <f>J4031</f>
        <v>1750</v>
      </c>
      <c r="I4045" s="24">
        <f>O4031</f>
        <v>250</v>
      </c>
      <c r="J4045" s="24">
        <f>P4031</f>
        <v>1250</v>
      </c>
      <c r="K4045" s="24"/>
      <c r="L4045" s="24"/>
      <c r="M4045" s="24"/>
      <c r="N4045" s="24"/>
      <c r="O4045" s="24"/>
      <c r="P4045" s="2"/>
      <c r="Q4045" s="2"/>
      <c r="R4045" s="2"/>
      <c r="S4045" s="2"/>
    </row>
    <row r="4046" spans="1:19">
      <c r="C4046" s="2"/>
      <c r="D4046" s="2">
        <v>4</v>
      </c>
      <c r="E4046" s="2" t="s">
        <v>15</v>
      </c>
      <c r="F4046" s="24">
        <v>1</v>
      </c>
      <c r="G4046" s="24"/>
      <c r="H4046" s="24"/>
      <c r="I4046" s="24"/>
      <c r="J4046" s="24"/>
      <c r="K4046" s="24"/>
      <c r="L4046" s="24"/>
      <c r="M4046" s="24"/>
      <c r="N4046" s="24"/>
      <c r="O4046" s="24"/>
      <c r="P4046" s="2"/>
      <c r="Q4046" s="2"/>
      <c r="R4046" s="2"/>
      <c r="S4046" s="2"/>
    </row>
    <row r="4047" spans="1:19">
      <c r="C4047" s="2"/>
      <c r="D4047" s="2">
        <v>4</v>
      </c>
      <c r="E4047" s="2" t="s">
        <v>15</v>
      </c>
      <c r="F4047" s="24">
        <v>6</v>
      </c>
      <c r="G4047" s="24"/>
      <c r="H4047" s="24"/>
      <c r="I4047" s="24"/>
      <c r="J4047" s="24"/>
      <c r="K4047" s="24"/>
      <c r="L4047" s="24"/>
      <c r="M4047" s="24"/>
      <c r="N4047" s="24"/>
      <c r="O4047" s="24"/>
      <c r="P4047" s="2"/>
      <c r="Q4047" s="2"/>
      <c r="R4047" s="2"/>
      <c r="S4047" s="2"/>
    </row>
    <row r="4048" spans="1:19">
      <c r="C4048" s="2"/>
      <c r="D4048" s="2">
        <f>F4048*2+4</f>
        <v>10</v>
      </c>
      <c r="E4048" s="2" t="s">
        <v>4</v>
      </c>
      <c r="F4048" s="24">
        <v>3</v>
      </c>
      <c r="G4048" s="24">
        <f>B4021+80</f>
        <v>830</v>
      </c>
      <c r="H4048" s="24">
        <f>B4024</f>
        <v>1250</v>
      </c>
      <c r="I4048" s="24">
        <f>B4021</f>
        <v>750</v>
      </c>
      <c r="J4048" s="24">
        <f>B4024-80</f>
        <v>1170</v>
      </c>
      <c r="K4048" s="24">
        <f>B4021-40</f>
        <v>710</v>
      </c>
      <c r="L4048" s="24">
        <f>B4024+40</f>
        <v>1290</v>
      </c>
      <c r="M4048" s="24"/>
      <c r="N4048" s="24"/>
      <c r="O4048" s="24"/>
      <c r="P4048" s="2"/>
      <c r="Q4048" s="2"/>
      <c r="R4048" s="2"/>
      <c r="S4048" s="2"/>
    </row>
    <row r="4049" spans="2:19">
      <c r="C4049" s="2"/>
      <c r="D4049" s="2">
        <f>F4049*2+4</f>
        <v>10</v>
      </c>
      <c r="E4049" s="2" t="s">
        <v>4</v>
      </c>
      <c r="F4049" s="24">
        <v>3</v>
      </c>
      <c r="G4049" s="24">
        <f>G4048+8000</f>
        <v>8830</v>
      </c>
      <c r="H4049" s="24">
        <f>H4048</f>
        <v>1250</v>
      </c>
      <c r="I4049" s="24">
        <f>I4048+8000</f>
        <v>8750</v>
      </c>
      <c r="J4049" s="24">
        <f>J4048</f>
        <v>1170</v>
      </c>
      <c r="K4049" s="24">
        <f>K4048+8000</f>
        <v>8710</v>
      </c>
      <c r="L4049" s="24">
        <f>L4048</f>
        <v>1290</v>
      </c>
      <c r="M4049" s="24"/>
      <c r="N4049" s="24"/>
      <c r="O4049" s="24"/>
      <c r="P4049" s="2"/>
      <c r="Q4049" s="2"/>
      <c r="R4049" s="2"/>
      <c r="S4049" s="2"/>
    </row>
    <row r="4050" spans="2:19">
      <c r="C4050" s="2"/>
      <c r="D4050" s="2">
        <v>4</v>
      </c>
      <c r="E4050" s="2" t="s">
        <v>15</v>
      </c>
      <c r="F4050" s="24">
        <v>7</v>
      </c>
      <c r="G4050" s="24"/>
      <c r="H4050" s="24"/>
      <c r="I4050" s="24"/>
      <c r="J4050" s="24"/>
      <c r="K4050" s="24"/>
      <c r="L4050" s="24"/>
      <c r="M4050" s="24"/>
      <c r="N4050" s="24"/>
      <c r="O4050" s="24"/>
      <c r="P4050" s="2"/>
      <c r="Q4050" s="2"/>
      <c r="R4050" s="2"/>
      <c r="S4050" s="2"/>
    </row>
    <row r="4051" spans="2:19">
      <c r="B4051" s="2"/>
      <c r="C4051" s="2"/>
      <c r="D4051" s="2">
        <v>18</v>
      </c>
      <c r="E4051" s="2" t="s">
        <v>111</v>
      </c>
      <c r="F4051" s="24">
        <v>120</v>
      </c>
      <c r="G4051" s="24">
        <f>B4021</f>
        <v>750</v>
      </c>
      <c r="H4051" s="24">
        <f>B4024</f>
        <v>1250</v>
      </c>
      <c r="I4051" s="24">
        <f>G4051+1200</f>
        <v>1950</v>
      </c>
      <c r="J4051" s="24">
        <f>H4051</f>
        <v>1250</v>
      </c>
      <c r="K4051" s="24"/>
      <c r="L4051" s="24"/>
      <c r="M4051" s="24"/>
      <c r="N4051" s="24"/>
      <c r="O4051" s="24"/>
      <c r="P4051" s="2"/>
      <c r="Q4051" s="2"/>
      <c r="R4051" s="2"/>
      <c r="S4051" s="2"/>
    </row>
    <row r="4052" spans="2:19">
      <c r="B4052">
        <f>B4021+2500</f>
        <v>3250</v>
      </c>
      <c r="C4052">
        <f>B4024-500</f>
        <v>750</v>
      </c>
      <c r="D4052" s="2">
        <v>18</v>
      </c>
      <c r="E4052" s="2" t="s">
        <v>111</v>
      </c>
      <c r="F4052" s="24">
        <v>120</v>
      </c>
      <c r="G4052" s="24">
        <f>G4051</f>
        <v>750</v>
      </c>
      <c r="H4052" s="24">
        <f>H4051</f>
        <v>1250</v>
      </c>
      <c r="I4052" s="24">
        <f>G4052</f>
        <v>750</v>
      </c>
      <c r="J4052" s="24">
        <f>H4052-1200</f>
        <v>50</v>
      </c>
      <c r="K4052" s="24"/>
      <c r="L4052" s="24"/>
      <c r="M4052" s="24"/>
      <c r="N4052" s="24"/>
      <c r="O4052" s="24"/>
      <c r="P4052" s="2"/>
      <c r="Q4052" s="2"/>
      <c r="R4052" s="2"/>
      <c r="S4052" s="2"/>
    </row>
    <row r="4053" spans="2:19">
      <c r="B4053" s="2"/>
      <c r="C4053" s="2"/>
      <c r="D4053" s="2">
        <v>18</v>
      </c>
      <c r="E4053" s="2" t="s">
        <v>111</v>
      </c>
      <c r="F4053" s="24">
        <v>120</v>
      </c>
      <c r="G4053" s="24">
        <f>G4052</f>
        <v>750</v>
      </c>
      <c r="H4053" s="24">
        <f>H4052</f>
        <v>1250</v>
      </c>
      <c r="I4053" s="24">
        <f>G4053-700</f>
        <v>50</v>
      </c>
      <c r="J4053" s="24">
        <f>H4053+700</f>
        <v>1950</v>
      </c>
      <c r="K4053" s="24"/>
      <c r="L4053" s="24"/>
      <c r="M4053" s="24"/>
      <c r="N4053" s="24"/>
      <c r="O4053" s="24"/>
      <c r="P4053" s="2"/>
      <c r="Q4053" s="2"/>
      <c r="R4053" s="2"/>
      <c r="S4053" s="2"/>
    </row>
    <row r="4054" spans="2:19">
      <c r="B4054">
        <f>B4052+2000</f>
        <v>5250</v>
      </c>
      <c r="C4054">
        <f>C4052+200</f>
        <v>950</v>
      </c>
      <c r="D4054" s="2">
        <v>44</v>
      </c>
      <c r="E4054" s="2" t="s">
        <v>112</v>
      </c>
      <c r="F4054" s="24">
        <v>120</v>
      </c>
      <c r="G4054" s="24">
        <f>M4021</f>
        <v>3250</v>
      </c>
      <c r="H4054" s="24">
        <f>N4021+300</f>
        <v>2050</v>
      </c>
      <c r="I4054" s="24">
        <f>O4021</f>
        <v>2250</v>
      </c>
      <c r="J4054" s="24">
        <f>H4054</f>
        <v>2050</v>
      </c>
      <c r="K4054" s="24"/>
      <c r="L4054" s="24"/>
      <c r="M4054" s="24"/>
      <c r="N4054" s="24"/>
      <c r="O4054" s="24"/>
      <c r="P4054" s="2"/>
      <c r="Q4054" s="2"/>
      <c r="R4054" s="2"/>
      <c r="S4054" s="2"/>
    </row>
    <row r="4055" spans="2:19">
      <c r="B4055" s="2"/>
      <c r="C4055" s="2"/>
      <c r="D4055" s="2">
        <f>F4055*2+4</f>
        <v>10</v>
      </c>
      <c r="E4055" s="3" t="s">
        <v>1</v>
      </c>
      <c r="F4055" s="24">
        <v>3</v>
      </c>
      <c r="G4055" s="24">
        <f>B4052-1000</f>
        <v>2250</v>
      </c>
      <c r="H4055" s="24">
        <f>C4052</f>
        <v>750</v>
      </c>
      <c r="I4055" s="24">
        <f>B4052</f>
        <v>3250</v>
      </c>
      <c r="J4055" s="24">
        <f>C4052</f>
        <v>750</v>
      </c>
      <c r="K4055" s="24">
        <f>B4052+500</f>
        <v>3750</v>
      </c>
      <c r="L4055" s="24">
        <f>C4052-500</f>
        <v>250</v>
      </c>
      <c r="M4055" s="24"/>
      <c r="N4055" s="24"/>
      <c r="O4055" s="24"/>
      <c r="P4055" s="2"/>
      <c r="Q4055" s="2"/>
      <c r="R4055" s="2"/>
      <c r="S4055" s="2"/>
    </row>
    <row r="4056" spans="2:19">
      <c r="C4056" s="2"/>
      <c r="D4056" s="2">
        <f>F4056*2+4</f>
        <v>8</v>
      </c>
      <c r="E4056" s="3" t="s">
        <v>1</v>
      </c>
      <c r="F4056" s="24">
        <v>2</v>
      </c>
      <c r="G4056" s="24">
        <f>I4056</f>
        <v>3250</v>
      </c>
      <c r="H4056" s="24">
        <f>J4056+1000</f>
        <v>1750</v>
      </c>
      <c r="I4056" s="24">
        <f>I4055</f>
        <v>3250</v>
      </c>
      <c r="J4056" s="24">
        <f>J4055</f>
        <v>750</v>
      </c>
      <c r="K4056" s="24"/>
      <c r="L4056" s="24"/>
      <c r="M4056" s="24"/>
      <c r="N4056" s="24"/>
      <c r="O4056" s="24"/>
      <c r="P4056" s="2"/>
      <c r="Q4056" s="2"/>
      <c r="R4056" s="2"/>
      <c r="S4056" s="2"/>
    </row>
    <row r="4057" spans="2:19">
      <c r="C4057" s="2"/>
      <c r="D4057" s="2">
        <f>F4057*2+4</f>
        <v>10</v>
      </c>
      <c r="E4057" s="3" t="s">
        <v>1</v>
      </c>
      <c r="F4057" s="24">
        <v>3</v>
      </c>
      <c r="G4057" s="24">
        <f>B4054-1000</f>
        <v>4250</v>
      </c>
      <c r="H4057" s="24">
        <f>C4054</f>
        <v>950</v>
      </c>
      <c r="I4057" s="24">
        <f>B4054</f>
        <v>5250</v>
      </c>
      <c r="J4057" s="24">
        <f>C4054</f>
        <v>950</v>
      </c>
      <c r="K4057" s="24">
        <f>B4054+500</f>
        <v>5750</v>
      </c>
      <c r="L4057" s="24">
        <f>C4054-500</f>
        <v>450</v>
      </c>
      <c r="M4057" s="24"/>
      <c r="N4057" s="24"/>
      <c r="O4057" s="24"/>
      <c r="P4057" s="2"/>
      <c r="Q4057" s="2"/>
      <c r="R4057" s="2"/>
      <c r="S4057" s="2"/>
    </row>
    <row r="4058" spans="2:19">
      <c r="C4058" s="2"/>
      <c r="D4058" s="2">
        <f>F4058*2+4</f>
        <v>8</v>
      </c>
      <c r="E4058" s="3" t="s">
        <v>1</v>
      </c>
      <c r="F4058" s="24">
        <v>2</v>
      </c>
      <c r="G4058" s="24">
        <f>I4058</f>
        <v>5250</v>
      </c>
      <c r="H4058" s="24">
        <f>J4058+800</f>
        <v>1750</v>
      </c>
      <c r="I4058" s="24">
        <f>I4057</f>
        <v>5250</v>
      </c>
      <c r="J4058" s="24">
        <f>J4057</f>
        <v>950</v>
      </c>
      <c r="K4058" s="24"/>
      <c r="L4058" s="24"/>
      <c r="M4058" s="24"/>
      <c r="N4058" s="24"/>
      <c r="O4058" s="24"/>
      <c r="P4058" s="2"/>
      <c r="Q4058" s="2"/>
      <c r="R4058" s="2"/>
      <c r="S4058" s="2"/>
    </row>
    <row r="4059" spans="2:19">
      <c r="C4059" s="2"/>
      <c r="D4059" s="2">
        <f>F4059*2+4</f>
        <v>8</v>
      </c>
      <c r="E4059" s="3" t="s">
        <v>1</v>
      </c>
      <c r="F4059" s="24">
        <v>2</v>
      </c>
      <c r="G4059" s="24">
        <f>I4028</f>
        <v>6750</v>
      </c>
      <c r="H4059" s="24">
        <f>J4028</f>
        <v>1750</v>
      </c>
      <c r="I4059" s="24">
        <f>O4028</f>
        <v>6250</v>
      </c>
      <c r="J4059" s="24">
        <f>P4028</f>
        <v>1250</v>
      </c>
      <c r="K4059" s="24"/>
      <c r="L4059" s="24"/>
      <c r="M4059" s="24"/>
      <c r="N4059" s="24"/>
      <c r="O4059" s="24"/>
      <c r="P4059" s="2"/>
      <c r="Q4059" s="2"/>
      <c r="R4059" s="2"/>
      <c r="S4059" s="2"/>
    </row>
    <row r="4060" spans="2:19">
      <c r="C4060" s="2"/>
      <c r="D4060" s="2">
        <f>ROUNDUP(6+F4060/2,0)</f>
        <v>7</v>
      </c>
      <c r="E4060" s="2" t="s">
        <v>6</v>
      </c>
      <c r="F4060" s="24">
        <f>LEN(G4060)</f>
        <v>2</v>
      </c>
      <c r="G4060" s="36" t="s">
        <v>507</v>
      </c>
      <c r="H4060" s="24">
        <f>J4051-120</f>
        <v>1130</v>
      </c>
      <c r="I4060" s="24">
        <f>I4051+20</f>
        <v>1970</v>
      </c>
      <c r="J4060" s="24"/>
      <c r="K4060" s="24"/>
      <c r="L4060" s="24"/>
      <c r="M4060" s="24"/>
      <c r="N4060" s="24"/>
      <c r="O4060" s="24"/>
      <c r="P4060" s="2"/>
      <c r="Q4060" s="2"/>
      <c r="R4060" s="2"/>
      <c r="S4060" s="2"/>
    </row>
    <row r="4061" spans="2:19">
      <c r="C4061" s="2"/>
      <c r="D4061" s="2">
        <f>ROUNDUP(6+F4061/2,0)</f>
        <v>7</v>
      </c>
      <c r="E4061" s="2" t="s">
        <v>6</v>
      </c>
      <c r="F4061" s="24">
        <f>LEN(G4061)</f>
        <v>2</v>
      </c>
      <c r="G4061" s="36" t="s">
        <v>509</v>
      </c>
      <c r="H4061" s="24">
        <f>J4052-30</f>
        <v>20</v>
      </c>
      <c r="I4061" s="24">
        <f>I4052+100</f>
        <v>850</v>
      </c>
      <c r="J4061" s="24"/>
      <c r="K4061" s="24"/>
      <c r="L4061" s="24"/>
      <c r="M4061" s="24"/>
      <c r="N4061" s="24"/>
      <c r="O4061" s="24"/>
      <c r="P4061" s="2"/>
      <c r="Q4061" s="2"/>
      <c r="R4061" s="2"/>
      <c r="S4061" s="2"/>
    </row>
    <row r="4062" spans="2:19">
      <c r="C4062" s="2"/>
      <c r="D4062" s="2">
        <f>ROUNDUP(6+F4062/2,0)</f>
        <v>7</v>
      </c>
      <c r="E4062" s="2" t="s">
        <v>6</v>
      </c>
      <c r="F4062" s="24">
        <f>LEN(G4062)</f>
        <v>2</v>
      </c>
      <c r="G4062" s="36" t="s">
        <v>508</v>
      </c>
      <c r="H4062" s="24">
        <f>J4053-180</f>
        <v>1770</v>
      </c>
      <c r="I4062" s="24">
        <f>I4053+225</f>
        <v>275</v>
      </c>
      <c r="J4062" s="24"/>
      <c r="K4062" s="24"/>
      <c r="L4062" s="24"/>
      <c r="M4062" s="24"/>
      <c r="N4062" s="24"/>
      <c r="O4062" s="24"/>
      <c r="P4062" s="2"/>
      <c r="Q4062" s="2"/>
      <c r="R4062" s="2"/>
      <c r="S4062" s="2"/>
    </row>
    <row r="4063" spans="2:19">
      <c r="C4063" s="2"/>
      <c r="D4063" s="2">
        <v>4</v>
      </c>
      <c r="E4063" s="2" t="s">
        <v>15</v>
      </c>
      <c r="F4063" s="24">
        <v>9</v>
      </c>
      <c r="G4063" s="24"/>
      <c r="H4063" s="24"/>
      <c r="I4063" s="24"/>
      <c r="J4063" s="24"/>
      <c r="K4063" s="24"/>
      <c r="L4063" s="24"/>
      <c r="M4063" s="24"/>
      <c r="N4063" s="24"/>
      <c r="O4063" s="24"/>
      <c r="P4063" s="2"/>
      <c r="Q4063" s="2"/>
      <c r="R4063" s="2"/>
      <c r="S4063" s="2"/>
    </row>
    <row r="4064" spans="2:19">
      <c r="C4064" s="2"/>
      <c r="D4064" s="2">
        <v>7</v>
      </c>
      <c r="E4064" s="23" t="s">
        <v>0</v>
      </c>
      <c r="F4064" s="24">
        <f>H4065-20</f>
        <v>0</v>
      </c>
      <c r="G4064" s="24">
        <f>I4065-90</f>
        <v>360</v>
      </c>
      <c r="H4064" s="24">
        <f>F4064+300</f>
        <v>300</v>
      </c>
      <c r="I4064" s="24">
        <f>G4064+300</f>
        <v>660</v>
      </c>
      <c r="J4064" s="24"/>
      <c r="K4064" s="24"/>
      <c r="L4064" s="24"/>
      <c r="M4064" s="24"/>
      <c r="N4064" s="24"/>
      <c r="O4064" s="24"/>
      <c r="P4064" s="2"/>
      <c r="Q4064" s="2"/>
      <c r="R4064" s="2"/>
      <c r="S4064" s="2"/>
    </row>
    <row r="4065" spans="1:39">
      <c r="C4065" s="2"/>
      <c r="D4065" s="2">
        <f>ROUNDUP(6+F4065/2,0)</f>
        <v>7</v>
      </c>
      <c r="E4065" s="2" t="s">
        <v>6</v>
      </c>
      <c r="F4065" s="24">
        <f>LEN(G4065)</f>
        <v>1</v>
      </c>
      <c r="G4065" s="36">
        <v>1</v>
      </c>
      <c r="H4065" s="24">
        <f>H4061</f>
        <v>20</v>
      </c>
      <c r="I4065" s="24">
        <f>I4061-400</f>
        <v>450</v>
      </c>
      <c r="J4065" s="24"/>
      <c r="K4065" s="24"/>
      <c r="L4065" s="24"/>
      <c r="M4065" s="24"/>
      <c r="N4065" s="24"/>
      <c r="O4065" s="24"/>
      <c r="P4065" s="2"/>
      <c r="Q4065" s="2"/>
      <c r="R4065" s="2"/>
      <c r="S4065" s="2"/>
    </row>
    <row r="4066" spans="1:39">
      <c r="C4066" s="2"/>
      <c r="D4066" s="2"/>
      <c r="E4066" s="24" t="s">
        <v>515</v>
      </c>
      <c r="F4066" s="24" t="s">
        <v>524</v>
      </c>
      <c r="G4066" s="24">
        <v>980</v>
      </c>
      <c r="H4066" s="24">
        <v>250</v>
      </c>
      <c r="I4066" s="24">
        <f>G4066+2000</f>
        <v>2980</v>
      </c>
      <c r="L4066" s="24"/>
      <c r="M4066" s="24"/>
      <c r="N4066" s="24"/>
      <c r="O4066" s="24"/>
      <c r="P4066" s="2"/>
      <c r="Q4066" s="2"/>
      <c r="R4066" s="2"/>
      <c r="S4066" s="2"/>
    </row>
    <row r="4067" spans="1:39">
      <c r="C4067" s="2"/>
      <c r="D4067" s="2"/>
      <c r="E4067" s="24" t="s">
        <v>515</v>
      </c>
      <c r="F4067" s="24" t="s">
        <v>525</v>
      </c>
      <c r="G4067" s="24">
        <v>980</v>
      </c>
      <c r="H4067" s="24">
        <v>480</v>
      </c>
      <c r="I4067" s="24">
        <f>G4067+4000</f>
        <v>4980</v>
      </c>
      <c r="L4067" s="24"/>
      <c r="M4067" s="24"/>
      <c r="N4067" s="24"/>
      <c r="O4067" s="24"/>
      <c r="P4067" s="2"/>
      <c r="Q4067" s="2"/>
      <c r="R4067" s="2"/>
      <c r="S4067" s="2"/>
    </row>
    <row r="4068" spans="1:39">
      <c r="C4068" s="2"/>
      <c r="D4068" s="2"/>
      <c r="E4068" s="24" t="s">
        <v>515</v>
      </c>
      <c r="F4068" s="24" t="s">
        <v>526</v>
      </c>
      <c r="G4068" s="24">
        <v>630</v>
      </c>
      <c r="H4068" s="24">
        <v>1440</v>
      </c>
      <c r="I4068" s="24">
        <f>G4068+6000</f>
        <v>6630</v>
      </c>
      <c r="L4068" s="24"/>
      <c r="M4068" s="24"/>
      <c r="N4068" s="24"/>
      <c r="O4068" s="24"/>
      <c r="P4068" s="2"/>
      <c r="Q4068" s="2"/>
      <c r="R4068" s="2"/>
      <c r="S4068" s="2"/>
    </row>
    <row r="4069" spans="1:39">
      <c r="C4069" s="2"/>
      <c r="D4069" s="2"/>
      <c r="E4069" s="24" t="s">
        <v>515</v>
      </c>
      <c r="F4069" s="24" t="s">
        <v>523</v>
      </c>
      <c r="G4069" s="24">
        <v>810</v>
      </c>
      <c r="H4069" s="24">
        <v>1000</v>
      </c>
      <c r="I4069" s="24">
        <f>G4069+8000</f>
        <v>8810</v>
      </c>
      <c r="L4069" s="24"/>
      <c r="M4069" s="24"/>
      <c r="N4069" s="24"/>
      <c r="O4069" s="24"/>
      <c r="P4069" s="2"/>
      <c r="Q4069" s="2"/>
      <c r="R4069" s="2"/>
      <c r="S4069" s="2"/>
    </row>
    <row r="4070" spans="1:39">
      <c r="C4070" s="2"/>
      <c r="D4070" s="2">
        <f>ROUNDUP(6+F4070/2,0)</f>
        <v>8</v>
      </c>
      <c r="E4070" s="2" t="s">
        <v>6</v>
      </c>
      <c r="F4070" s="24">
        <f>LEN(G4070)</f>
        <v>3</v>
      </c>
      <c r="G4070" s="36" t="s">
        <v>513</v>
      </c>
      <c r="H4070" s="24">
        <f>H4054-250</f>
        <v>1800</v>
      </c>
      <c r="I4070" s="24">
        <f>I4054+350</f>
        <v>2600</v>
      </c>
      <c r="J4070" s="24"/>
      <c r="K4070" s="24"/>
      <c r="L4070" s="36"/>
      <c r="M4070" s="24"/>
      <c r="N4070" s="24"/>
      <c r="O4070" s="24"/>
      <c r="P4070" s="2"/>
      <c r="Q4070" s="2"/>
      <c r="R4070" s="2"/>
      <c r="S4070" s="2"/>
    </row>
    <row r="4071" spans="1:39">
      <c r="D4071" s="2"/>
      <c r="E4071" s="2" t="s">
        <v>515</v>
      </c>
      <c r="F4071" s="24" t="s">
        <v>518</v>
      </c>
      <c r="G4071" s="24">
        <v>1300</v>
      </c>
      <c r="H4071" s="24">
        <v>10</v>
      </c>
      <c r="I4071" s="24">
        <v>2800</v>
      </c>
      <c r="J4071" s="24">
        <f>I4071+2000</f>
        <v>4800</v>
      </c>
      <c r="K4071" s="24">
        <f>J4071+2000</f>
        <v>6800</v>
      </c>
      <c r="L4071" s="24">
        <f>K4071+1500</f>
        <v>8300</v>
      </c>
      <c r="M4071" s="24"/>
      <c r="N4071" s="24"/>
      <c r="O4071" s="24"/>
      <c r="P4071" s="2"/>
      <c r="Q4071" s="2"/>
      <c r="R4071" s="2"/>
      <c r="S4071" s="2"/>
    </row>
    <row r="4072" spans="1:39">
      <c r="A4072" s="2"/>
      <c r="B4072" s="2"/>
      <c r="C4072" s="2"/>
      <c r="D4072" s="2">
        <v>4</v>
      </c>
      <c r="E4072" s="2" t="s">
        <v>15</v>
      </c>
      <c r="F4072" s="24">
        <v>10</v>
      </c>
      <c r="G4072" s="24"/>
      <c r="H4072" s="24"/>
      <c r="I4072" s="24"/>
      <c r="J4072" s="24"/>
      <c r="K4072" s="24"/>
      <c r="L4072" s="24"/>
      <c r="M4072" s="24"/>
      <c r="N4072" s="24"/>
      <c r="O4072" s="24"/>
      <c r="P4072" s="2"/>
      <c r="Q4072" s="2"/>
      <c r="R4072" s="2"/>
      <c r="S4072" s="2"/>
    </row>
    <row r="4073" spans="1:39">
      <c r="A4073" s="2"/>
      <c r="B4073" s="2"/>
      <c r="C4073" s="2"/>
      <c r="D4073" s="2"/>
      <c r="E4073" s="2" t="s">
        <v>515</v>
      </c>
      <c r="F4073" s="40" t="s">
        <v>516</v>
      </c>
      <c r="G4073" s="24">
        <f>C4021+150</f>
        <v>1900</v>
      </c>
      <c r="H4073" s="24">
        <f>C4024-600</f>
        <v>650</v>
      </c>
      <c r="I4073" s="24">
        <f>G4073+2000</f>
        <v>3900</v>
      </c>
      <c r="J4073" s="24">
        <f>I4073+2000</f>
        <v>5900</v>
      </c>
      <c r="K4073" s="24">
        <f>J4073+2000</f>
        <v>7900</v>
      </c>
      <c r="L4073" s="24"/>
      <c r="M4073" s="24"/>
      <c r="N4073" s="24"/>
      <c r="O4073" s="24"/>
      <c r="P4073" s="2"/>
      <c r="Q4073" s="2"/>
      <c r="R4073" s="2"/>
      <c r="S4073" s="2"/>
    </row>
    <row r="4074" spans="1:39">
      <c r="A4074" s="2"/>
      <c r="B4074" s="2"/>
      <c r="C4074" s="2"/>
      <c r="D4074" s="2"/>
      <c r="E4074" s="2"/>
      <c r="F4074" s="24"/>
      <c r="G4074" s="36"/>
      <c r="H4074" s="24"/>
      <c r="I4074" s="24"/>
    </row>
    <row r="4075" spans="1:39">
      <c r="A4075" s="2"/>
      <c r="B4075" s="2"/>
      <c r="C4075" s="2"/>
      <c r="D4075" s="2"/>
      <c r="E4075" s="2"/>
      <c r="F4075" s="24"/>
      <c r="G4075" s="36"/>
      <c r="H4075" s="24"/>
      <c r="I4075" s="24"/>
      <c r="J4075" s="24"/>
    </row>
    <row r="4076" spans="1:39">
      <c r="A4076" s="48" t="s">
        <v>383</v>
      </c>
      <c r="B4076" s="1" t="s">
        <v>613</v>
      </c>
      <c r="D4076" s="48" t="s">
        <v>449</v>
      </c>
      <c r="E4076" s="48">
        <v>52695</v>
      </c>
      <c r="F4076" s="6">
        <v>39622</v>
      </c>
      <c r="G4076" s="6">
        <v>0</v>
      </c>
      <c r="H4076" s="6">
        <v>0</v>
      </c>
      <c r="I4076" s="6">
        <v>0</v>
      </c>
      <c r="J4076" s="6">
        <v>2100</v>
      </c>
      <c r="K4076" s="6">
        <v>600</v>
      </c>
      <c r="L4076" s="6">
        <v>384</v>
      </c>
      <c r="M4076" s="6">
        <v>0</v>
      </c>
      <c r="N4076" s="6">
        <v>0</v>
      </c>
      <c r="O4076" s="6" t="e">
        <f ca="1">checksummeint(G4076,H4076,I4076,J4076,K4076,L4076,M4076,N4076)</f>
        <v>#NAME?</v>
      </c>
      <c r="P4076" s="48"/>
      <c r="Q4076" s="48"/>
      <c r="R4076" s="48"/>
      <c r="S4076" s="48"/>
      <c r="T4076" s="49"/>
      <c r="U4076" s="49"/>
      <c r="V4076" s="48"/>
      <c r="W4076" s="48"/>
      <c r="X4076" s="48"/>
      <c r="Y4076" s="48"/>
      <c r="Z4076" s="48"/>
      <c r="AA4076" s="48"/>
      <c r="AB4076" s="48"/>
      <c r="AC4076" s="48"/>
      <c r="AD4076" s="48"/>
      <c r="AE4076" s="48"/>
      <c r="AF4076" s="48"/>
      <c r="AG4076" s="48"/>
      <c r="AH4076" s="48"/>
      <c r="AI4076" s="48"/>
      <c r="AJ4076" s="48"/>
      <c r="AK4076" s="48"/>
      <c r="AL4076" s="48"/>
      <c r="AM4076" s="48"/>
    </row>
    <row r="4077" spans="1:39">
      <c r="D4077" s="48">
        <v>28</v>
      </c>
      <c r="E4077" s="48" t="s">
        <v>12</v>
      </c>
      <c r="F4077" s="6">
        <v>72</v>
      </c>
      <c r="G4077" s="6">
        <v>0</v>
      </c>
      <c r="H4077" s="6">
        <v>0</v>
      </c>
      <c r="I4077" s="6">
        <v>0</v>
      </c>
      <c r="J4077" s="6">
        <v>400</v>
      </c>
      <c r="K4077" s="6">
        <v>0</v>
      </c>
      <c r="L4077" s="6">
        <v>0</v>
      </c>
      <c r="M4077" s="6">
        <v>0</v>
      </c>
      <c r="N4077" s="6">
        <v>0</v>
      </c>
      <c r="O4077" s="6" t="s">
        <v>19</v>
      </c>
      <c r="P4077" s="48"/>
      <c r="Q4077" s="48"/>
      <c r="R4077" s="48"/>
      <c r="S4077" s="48"/>
      <c r="T4077" s="49"/>
      <c r="U4077" s="49"/>
      <c r="V4077" s="48"/>
      <c r="W4077" s="48"/>
      <c r="X4077" s="48"/>
      <c r="Y4077" s="48"/>
      <c r="Z4077" s="48"/>
      <c r="AA4077" s="48"/>
      <c r="AB4077" s="48"/>
      <c r="AC4077" s="48"/>
      <c r="AD4077" s="48"/>
      <c r="AE4077" s="48"/>
      <c r="AF4077" s="48"/>
      <c r="AG4077" s="48"/>
      <c r="AH4077" s="48"/>
      <c r="AI4077" s="48"/>
      <c r="AJ4077" s="48"/>
      <c r="AK4077" s="48"/>
      <c r="AL4077" s="48"/>
      <c r="AM4077" s="48"/>
    </row>
    <row r="4078" spans="1:39">
      <c r="D4078" s="48">
        <v>5</v>
      </c>
      <c r="E4078" s="48" t="s">
        <v>59</v>
      </c>
      <c r="F4078" s="6">
        <v>1</v>
      </c>
      <c r="G4078" s="6">
        <v>0</v>
      </c>
      <c r="P4078" s="48"/>
      <c r="Q4078" s="48"/>
      <c r="R4078" s="48"/>
      <c r="S4078" s="48"/>
      <c r="T4078" s="49"/>
      <c r="U4078" s="49"/>
      <c r="V4078" s="48"/>
      <c r="W4078" s="48"/>
      <c r="X4078" s="48"/>
      <c r="Y4078" s="48"/>
      <c r="Z4078" s="48"/>
      <c r="AA4078" s="48"/>
      <c r="AB4078" s="48"/>
      <c r="AC4078" s="48"/>
      <c r="AD4078" s="48"/>
      <c r="AE4078" s="48"/>
      <c r="AF4078" s="48"/>
      <c r="AG4078" s="48"/>
      <c r="AH4078" s="48"/>
      <c r="AI4078" s="48"/>
      <c r="AJ4078" s="48"/>
      <c r="AK4078" s="48"/>
      <c r="AL4078" s="48"/>
      <c r="AM4078" s="48"/>
    </row>
    <row r="4079" spans="1:39">
      <c r="D4079" s="48">
        <v>8</v>
      </c>
      <c r="E4079" s="48" t="s">
        <v>14</v>
      </c>
      <c r="F4079" s="6">
        <v>0</v>
      </c>
      <c r="G4079" s="6">
        <v>3</v>
      </c>
      <c r="H4079" s="6">
        <v>0</v>
      </c>
      <c r="I4079" s="6">
        <v>0</v>
      </c>
      <c r="J4079" s="6">
        <v>0</v>
      </c>
      <c r="M4079" s="44"/>
      <c r="N4079" s="45"/>
      <c r="O4079" s="46"/>
      <c r="P4079" s="48"/>
      <c r="Q4079" s="48"/>
      <c r="R4079" s="48"/>
      <c r="S4079" s="48"/>
      <c r="T4079" s="49"/>
      <c r="U4079" s="49"/>
      <c r="V4079" s="48"/>
      <c r="W4079" s="48"/>
      <c r="X4079" s="48"/>
      <c r="Y4079" s="48"/>
      <c r="Z4079" s="48"/>
      <c r="AA4079" s="48"/>
      <c r="AB4079" s="48"/>
      <c r="AC4079" s="48"/>
      <c r="AD4079" s="48"/>
      <c r="AE4079" s="48"/>
      <c r="AF4079" s="48"/>
      <c r="AG4079" s="48"/>
      <c r="AH4079" s="48"/>
      <c r="AI4079" s="48"/>
      <c r="AJ4079" s="48"/>
      <c r="AK4079" s="48"/>
      <c r="AL4079" s="48"/>
      <c r="AM4079" s="48"/>
    </row>
    <row r="4080" spans="1:39">
      <c r="D4080" s="48">
        <v>7</v>
      </c>
      <c r="E4080" s="48" t="s">
        <v>11</v>
      </c>
      <c r="F4080" s="6">
        <v>0</v>
      </c>
      <c r="G4080" s="50">
        <f>255*256+192</f>
        <v>65472</v>
      </c>
      <c r="H4080" s="50">
        <v>192</v>
      </c>
      <c r="I4080" s="6">
        <v>0</v>
      </c>
      <c r="P4080" s="48"/>
      <c r="Q4080" s="48"/>
      <c r="R4080" s="48"/>
      <c r="S4080" s="48"/>
      <c r="T4080" s="49"/>
      <c r="U4080" s="49"/>
      <c r="V4080" s="48"/>
      <c r="W4080" s="48"/>
      <c r="X4080" s="48"/>
      <c r="Y4080" s="48"/>
      <c r="Z4080" s="48"/>
      <c r="AA4080" s="48"/>
      <c r="AB4080" s="48"/>
      <c r="AC4080" s="48"/>
      <c r="AD4080" s="48"/>
      <c r="AE4080" s="48"/>
      <c r="AF4080" s="48"/>
      <c r="AG4080" s="48"/>
      <c r="AH4080" s="48"/>
      <c r="AI4080" s="48"/>
      <c r="AJ4080" s="48"/>
      <c r="AK4080" s="48"/>
      <c r="AL4080" s="48"/>
      <c r="AM4080" s="48"/>
    </row>
    <row r="4081" spans="1:39">
      <c r="D4081" s="48">
        <v>7</v>
      </c>
      <c r="E4081" s="48" t="s">
        <v>11</v>
      </c>
      <c r="F4081" s="6">
        <v>0</v>
      </c>
      <c r="G4081" s="6">
        <v>0</v>
      </c>
      <c r="H4081" s="6">
        <v>0</v>
      </c>
      <c r="I4081" s="6">
        <v>0</v>
      </c>
      <c r="P4081" s="48"/>
      <c r="Q4081" s="48"/>
      <c r="R4081" s="48"/>
      <c r="S4081" s="48"/>
      <c r="T4081" s="49"/>
      <c r="U4081" s="49"/>
      <c r="V4081" s="48"/>
      <c r="W4081" s="48"/>
      <c r="X4081" s="48"/>
      <c r="Y4081" s="48"/>
      <c r="Z4081" s="48"/>
      <c r="AA4081" s="48"/>
      <c r="AB4081" s="48"/>
      <c r="AC4081" s="48"/>
      <c r="AD4081" s="48"/>
      <c r="AE4081" s="48"/>
      <c r="AF4081" s="48"/>
      <c r="AG4081" s="48"/>
      <c r="AH4081" s="48"/>
      <c r="AI4081" s="48"/>
      <c r="AJ4081" s="48"/>
      <c r="AK4081" s="48"/>
      <c r="AL4081" s="48"/>
      <c r="AM4081" s="48"/>
    </row>
    <row r="4082" spans="1:39">
      <c r="D4082" s="48">
        <v>4</v>
      </c>
      <c r="E4082" s="48" t="s">
        <v>15</v>
      </c>
      <c r="F4082" s="6">
        <v>0</v>
      </c>
      <c r="G4082" s="50"/>
      <c r="P4082" s="48"/>
      <c r="Q4082" s="48"/>
      <c r="R4082" s="48"/>
      <c r="S4082" s="48"/>
      <c r="T4082" s="49"/>
      <c r="U4082" s="49"/>
      <c r="V4082" s="48"/>
      <c r="W4082" s="48"/>
      <c r="X4082" s="48"/>
      <c r="Y4082" s="48"/>
      <c r="Z4082" s="48"/>
      <c r="AA4082" s="48"/>
      <c r="AB4082" s="48"/>
      <c r="AC4082" s="48"/>
      <c r="AD4082" s="48"/>
      <c r="AE4082" s="48"/>
      <c r="AF4082" s="48"/>
      <c r="AG4082" s="48"/>
      <c r="AH4082" s="48"/>
      <c r="AI4082" s="48"/>
      <c r="AJ4082" s="48"/>
      <c r="AK4082" s="48"/>
      <c r="AL4082" s="48"/>
      <c r="AM4082" s="48"/>
    </row>
    <row r="4083" spans="1:39">
      <c r="D4083" s="48"/>
      <c r="E4083" s="48" t="s">
        <v>113</v>
      </c>
      <c r="F4083" s="6">
        <v>40</v>
      </c>
      <c r="G4083" s="50">
        <v>150</v>
      </c>
      <c r="H4083" s="50">
        <v>500</v>
      </c>
      <c r="I4083" s="50">
        <v>1950</v>
      </c>
      <c r="J4083" s="50">
        <v>100</v>
      </c>
      <c r="K4083" s="50" t="s">
        <v>611</v>
      </c>
      <c r="L4083" s="50">
        <v>8</v>
      </c>
      <c r="M4083" s="50">
        <v>0</v>
      </c>
      <c r="N4083" s="49">
        <v>21</v>
      </c>
      <c r="O4083" s="49">
        <v>0</v>
      </c>
      <c r="P4083" s="49">
        <v>1</v>
      </c>
      <c r="Q4083" s="49">
        <v>3</v>
      </c>
      <c r="R4083" s="49">
        <v>0</v>
      </c>
      <c r="S4083" s="49">
        <v>0</v>
      </c>
      <c r="T4083" s="49">
        <f>S4083+5</f>
        <v>5</v>
      </c>
      <c r="U4083" s="49">
        <f t="shared" ref="U4083:AJ4083" si="208">T4083+5</f>
        <v>10</v>
      </c>
      <c r="V4083" s="49">
        <f t="shared" si="208"/>
        <v>15</v>
      </c>
      <c r="W4083" s="49">
        <f t="shared" si="208"/>
        <v>20</v>
      </c>
      <c r="X4083" s="49">
        <f t="shared" si="208"/>
        <v>25</v>
      </c>
      <c r="Y4083" s="49">
        <f t="shared" si="208"/>
        <v>30</v>
      </c>
      <c r="Z4083" s="49">
        <f t="shared" si="208"/>
        <v>35</v>
      </c>
      <c r="AA4083" s="49">
        <f t="shared" si="208"/>
        <v>40</v>
      </c>
      <c r="AB4083" s="49">
        <f t="shared" si="208"/>
        <v>45</v>
      </c>
      <c r="AC4083" s="49">
        <f t="shared" si="208"/>
        <v>50</v>
      </c>
      <c r="AD4083" s="49">
        <f t="shared" si="208"/>
        <v>55</v>
      </c>
      <c r="AE4083" s="49">
        <f t="shared" si="208"/>
        <v>60</v>
      </c>
      <c r="AF4083" s="49">
        <f t="shared" si="208"/>
        <v>65</v>
      </c>
      <c r="AG4083" s="49">
        <f t="shared" si="208"/>
        <v>70</v>
      </c>
      <c r="AH4083" s="49">
        <f t="shared" si="208"/>
        <v>75</v>
      </c>
      <c r="AI4083" s="49">
        <f t="shared" si="208"/>
        <v>80</v>
      </c>
      <c r="AJ4083" s="49">
        <f t="shared" si="208"/>
        <v>85</v>
      </c>
      <c r="AK4083" s="49">
        <f>AJ4083+5</f>
        <v>90</v>
      </c>
      <c r="AL4083" s="49">
        <f>AK4083+5</f>
        <v>95</v>
      </c>
      <c r="AM4083" s="49">
        <f>AL4083+5</f>
        <v>100</v>
      </c>
    </row>
    <row r="4084" spans="1:39">
      <c r="D4084" s="49"/>
      <c r="E4084" s="48"/>
      <c r="F4084" s="50"/>
      <c r="K4084" s="36" t="s">
        <v>612</v>
      </c>
      <c r="L4084" s="50">
        <v>-1</v>
      </c>
      <c r="O4084" s="49"/>
      <c r="P4084" s="48"/>
      <c r="Q4084" s="50">
        <v>2</v>
      </c>
      <c r="R4084" s="31" t="s">
        <v>723</v>
      </c>
      <c r="S4084" s="49">
        <f>3+0.1*S4083-0.0008*S4083^2</f>
        <v>3</v>
      </c>
      <c r="T4084" s="49">
        <f>3+0.1*T4083-0.0008*T4083^2</f>
        <v>3.48</v>
      </c>
      <c r="U4084" s="49">
        <f t="shared" ref="U4084:AJ4084" si="209">3+0.1*U4083-0.0008*U4083^2</f>
        <v>3.92</v>
      </c>
      <c r="V4084" s="49">
        <f t="shared" si="209"/>
        <v>4.32</v>
      </c>
      <c r="W4084" s="49">
        <f t="shared" si="209"/>
        <v>4.68</v>
      </c>
      <c r="X4084" s="49">
        <f t="shared" si="209"/>
        <v>5</v>
      </c>
      <c r="Y4084" s="49">
        <f t="shared" si="209"/>
        <v>5.28</v>
      </c>
      <c r="Z4084" s="49">
        <f t="shared" si="209"/>
        <v>5.52</v>
      </c>
      <c r="AA4084" s="49">
        <f t="shared" si="209"/>
        <v>5.72</v>
      </c>
      <c r="AB4084" s="49">
        <f t="shared" si="209"/>
        <v>5.88</v>
      </c>
      <c r="AC4084" s="49">
        <f t="shared" si="209"/>
        <v>6</v>
      </c>
      <c r="AD4084" s="49">
        <f t="shared" si="209"/>
        <v>6.08</v>
      </c>
      <c r="AE4084" s="49">
        <f t="shared" si="209"/>
        <v>6.1199999999999992</v>
      </c>
      <c r="AF4084" s="49">
        <f t="shared" si="209"/>
        <v>6.1199999999999992</v>
      </c>
      <c r="AG4084" s="49">
        <f t="shared" si="209"/>
        <v>6.08</v>
      </c>
      <c r="AH4084" s="49">
        <f t="shared" si="209"/>
        <v>6</v>
      </c>
      <c r="AI4084" s="49">
        <f t="shared" si="209"/>
        <v>5.88</v>
      </c>
      <c r="AJ4084" s="49">
        <f t="shared" si="209"/>
        <v>5.72</v>
      </c>
      <c r="AK4084" s="49">
        <f>3+0.1*AK4083-0.0008*AK4083^2</f>
        <v>5.52</v>
      </c>
      <c r="AL4084" s="49">
        <f>3+0.1*AL4083-0.0008*AL4083^2</f>
        <v>5.2799999999999994</v>
      </c>
      <c r="AM4084" s="49">
        <f>3+0.1*AM4083-0.0008*AM4083^2</f>
        <v>5</v>
      </c>
    </row>
    <row r="4087" spans="1:39">
      <c r="A4087" s="48" t="s">
        <v>383</v>
      </c>
      <c r="B4087" s="3" t="s">
        <v>620</v>
      </c>
      <c r="C4087" s="2"/>
      <c r="D4087" s="2"/>
      <c r="E4087" s="2">
        <v>52695</v>
      </c>
      <c r="F4087" s="24">
        <v>39622</v>
      </c>
      <c r="G4087" s="24">
        <v>0</v>
      </c>
      <c r="H4087" s="24">
        <v>0</v>
      </c>
      <c r="I4087" s="24">
        <v>0</v>
      </c>
      <c r="J4087" s="24">
        <v>3800</v>
      </c>
      <c r="K4087" s="24">
        <v>2950</v>
      </c>
      <c r="L4087" s="24">
        <v>960</v>
      </c>
      <c r="M4087" s="24">
        <v>0</v>
      </c>
      <c r="N4087" s="24">
        <v>0</v>
      </c>
      <c r="O4087" s="24" t="e">
        <f ca="1">checksummeint(G4087,H4087,I4087,J4087,K4087,L4087,M4087,N4087)</f>
        <v>#NAME?</v>
      </c>
      <c r="P4087" s="2"/>
      <c r="Q4087" s="2"/>
      <c r="R4087" s="2"/>
    </row>
    <row r="4088" spans="1:39">
      <c r="C4088" s="2"/>
      <c r="D4088" s="2">
        <v>28</v>
      </c>
      <c r="E4088" s="2" t="s">
        <v>12</v>
      </c>
      <c r="F4088" s="24">
        <v>180</v>
      </c>
      <c r="G4088" s="24">
        <v>0</v>
      </c>
      <c r="H4088" s="24">
        <v>0</v>
      </c>
      <c r="I4088" s="24">
        <v>0</v>
      </c>
      <c r="J4088" s="24">
        <v>400</v>
      </c>
      <c r="K4088" s="24">
        <v>0</v>
      </c>
      <c r="L4088" s="24">
        <v>0</v>
      </c>
      <c r="M4088" s="24">
        <v>0</v>
      </c>
      <c r="N4088" s="24">
        <v>0</v>
      </c>
      <c r="O4088" s="24" t="s">
        <v>19</v>
      </c>
      <c r="P4088" s="2"/>
      <c r="Q4088" s="2"/>
      <c r="R4088" s="2"/>
    </row>
    <row r="4089" spans="1:39">
      <c r="C4089" s="2">
        <v>1</v>
      </c>
      <c r="D4089" s="2">
        <v>8</v>
      </c>
      <c r="E4089" s="2" t="s">
        <v>14</v>
      </c>
      <c r="F4089" s="24">
        <v>0</v>
      </c>
      <c r="G4089" s="24">
        <v>8</v>
      </c>
      <c r="H4089" s="24">
        <v>0</v>
      </c>
      <c r="I4089" s="24">
        <v>0</v>
      </c>
      <c r="J4089" s="24">
        <v>0</v>
      </c>
      <c r="K4089" s="24"/>
      <c r="L4089" s="24"/>
      <c r="M4089" s="24"/>
      <c r="N4089" s="24"/>
      <c r="O4089" s="24"/>
      <c r="P4089" s="2"/>
      <c r="Q4089" s="2"/>
      <c r="R4089" s="2"/>
    </row>
    <row r="4090" spans="1:39">
      <c r="C4090" s="2">
        <f>C4089+1</f>
        <v>2</v>
      </c>
      <c r="D4090">
        <v>8</v>
      </c>
      <c r="E4090" t="s">
        <v>14</v>
      </c>
      <c r="F4090" s="24">
        <v>0</v>
      </c>
      <c r="G4090" s="24">
        <v>8</v>
      </c>
      <c r="H4090" s="24">
        <v>0</v>
      </c>
      <c r="I4090" s="24">
        <v>255</v>
      </c>
      <c r="J4090" s="24">
        <v>0</v>
      </c>
      <c r="K4090" s="24"/>
      <c r="L4090" s="24"/>
      <c r="M4090" s="24"/>
      <c r="N4090" s="24"/>
      <c r="O4090" s="24"/>
      <c r="P4090" s="2"/>
      <c r="Q4090" s="2"/>
      <c r="R4090" s="2"/>
    </row>
    <row r="4091" spans="1:39">
      <c r="C4091" s="2">
        <f t="shared" ref="C4091:C4096" si="210">C4090+1</f>
        <v>3</v>
      </c>
      <c r="D4091" s="2">
        <v>7</v>
      </c>
      <c r="E4091" s="2" t="s">
        <v>11</v>
      </c>
      <c r="F4091" s="24">
        <v>0</v>
      </c>
      <c r="G4091" s="24">
        <f>256*192+255</f>
        <v>49407</v>
      </c>
      <c r="H4091" s="24">
        <v>192</v>
      </c>
      <c r="I4091" s="24"/>
      <c r="J4091" s="24"/>
      <c r="K4091" s="24"/>
      <c r="L4091" s="2"/>
      <c r="M4091" s="2"/>
      <c r="N4091" s="2"/>
      <c r="O4091" s="24"/>
      <c r="P4091" s="2"/>
      <c r="Q4091" s="2"/>
      <c r="R4091" s="2"/>
    </row>
    <row r="4092" spans="1:39">
      <c r="C4092" s="2">
        <f t="shared" si="210"/>
        <v>4</v>
      </c>
      <c r="D4092" s="2">
        <v>7</v>
      </c>
      <c r="E4092" s="2" t="s">
        <v>11</v>
      </c>
      <c r="F4092" s="24">
        <v>0</v>
      </c>
      <c r="G4092" s="24">
        <f>H4092*257</f>
        <v>49344</v>
      </c>
      <c r="H4092" s="24">
        <v>192</v>
      </c>
      <c r="I4092" s="24"/>
      <c r="J4092" s="24"/>
      <c r="K4092" s="24"/>
      <c r="L4092" s="2"/>
      <c r="M4092" s="2"/>
      <c r="N4092" s="2"/>
      <c r="O4092" s="24"/>
      <c r="P4092" s="2"/>
      <c r="Q4092" s="2"/>
      <c r="R4092" s="2"/>
    </row>
    <row r="4093" spans="1:39">
      <c r="C4093" s="2">
        <f t="shared" si="210"/>
        <v>5</v>
      </c>
      <c r="D4093" s="2">
        <v>7</v>
      </c>
      <c r="E4093" s="2" t="s">
        <v>11</v>
      </c>
      <c r="F4093" s="24">
        <v>0</v>
      </c>
      <c r="G4093" s="24">
        <f>H4093*257</f>
        <v>41120</v>
      </c>
      <c r="H4093" s="6">
        <f>H4092-32</f>
        <v>160</v>
      </c>
      <c r="I4093" s="24"/>
      <c r="J4093" s="24"/>
      <c r="K4093" s="24"/>
      <c r="L4093" s="2"/>
      <c r="M4093" s="2"/>
      <c r="N4093" s="2"/>
      <c r="O4093" s="24"/>
      <c r="P4093" s="2"/>
      <c r="Q4093" s="2"/>
      <c r="R4093" s="2"/>
    </row>
    <row r="4094" spans="1:39">
      <c r="C4094" s="2">
        <f t="shared" si="210"/>
        <v>6</v>
      </c>
      <c r="D4094" s="2">
        <v>28</v>
      </c>
      <c r="E4094" s="2" t="s">
        <v>12</v>
      </c>
      <c r="F4094" s="24">
        <v>180</v>
      </c>
      <c r="G4094" s="24">
        <v>0</v>
      </c>
      <c r="H4094" s="24">
        <v>900</v>
      </c>
      <c r="I4094" s="24">
        <v>0</v>
      </c>
      <c r="J4094" s="24">
        <v>400</v>
      </c>
      <c r="K4094" s="24">
        <v>0</v>
      </c>
      <c r="L4094" s="24">
        <v>0</v>
      </c>
      <c r="M4094" s="24">
        <v>0</v>
      </c>
      <c r="N4094" s="24">
        <v>0</v>
      </c>
      <c r="O4094" s="24" t="s">
        <v>19</v>
      </c>
      <c r="P4094" s="2"/>
      <c r="Q4094" s="2"/>
      <c r="R4094" s="2"/>
    </row>
    <row r="4095" spans="1:39">
      <c r="C4095" s="2">
        <f t="shared" si="210"/>
        <v>7</v>
      </c>
      <c r="D4095" s="2">
        <v>7</v>
      </c>
      <c r="E4095" s="2" t="s">
        <v>11</v>
      </c>
      <c r="F4095" s="24">
        <v>0</v>
      </c>
      <c r="G4095" s="24">
        <v>0</v>
      </c>
      <c r="H4095" s="24">
        <v>0</v>
      </c>
      <c r="I4095" s="24"/>
      <c r="J4095" s="24"/>
      <c r="K4095" s="24"/>
      <c r="L4095" s="2"/>
      <c r="M4095" s="2"/>
      <c r="N4095" s="2"/>
      <c r="O4095" s="24"/>
      <c r="P4095" s="2"/>
      <c r="Q4095" s="2"/>
      <c r="R4095" s="2"/>
    </row>
    <row r="4096" spans="1:39">
      <c r="C4096" s="2">
        <f t="shared" si="210"/>
        <v>8</v>
      </c>
      <c r="D4096">
        <v>8</v>
      </c>
      <c r="E4096" t="s">
        <v>14</v>
      </c>
      <c r="F4096" s="6">
        <v>2</v>
      </c>
      <c r="G4096" s="6">
        <f>G4089</f>
        <v>8</v>
      </c>
      <c r="H4096" s="6">
        <v>0</v>
      </c>
      <c r="I4096" s="6">
        <v>0</v>
      </c>
      <c r="J4096" s="6">
        <v>0</v>
      </c>
      <c r="K4096" s="24"/>
      <c r="L4096" s="2"/>
      <c r="M4096" s="2"/>
      <c r="N4096" s="2"/>
      <c r="O4096" s="24"/>
      <c r="P4096" s="2"/>
      <c r="Q4096" s="2"/>
      <c r="R4096" s="2"/>
    </row>
    <row r="4097" spans="1:18">
      <c r="A4097" s="2"/>
      <c r="C4097" s="2"/>
      <c r="D4097" s="2">
        <v>4</v>
      </c>
      <c r="E4097" s="2" t="s">
        <v>15</v>
      </c>
      <c r="F4097" s="24">
        <v>0</v>
      </c>
      <c r="G4097" s="24"/>
      <c r="H4097" s="24"/>
      <c r="I4097" s="24"/>
      <c r="J4097" s="24"/>
      <c r="K4097" s="24"/>
      <c r="L4097" s="24"/>
      <c r="M4097" s="24"/>
      <c r="N4097" s="24"/>
      <c r="O4097" s="24"/>
      <c r="P4097" s="2"/>
      <c r="Q4097" s="2"/>
      <c r="R4097" s="2"/>
    </row>
    <row r="4098" spans="1:18">
      <c r="C4098" s="2"/>
      <c r="D4098" s="2">
        <v>4</v>
      </c>
      <c r="E4098" s="2" t="s">
        <v>15</v>
      </c>
      <c r="F4098" s="24">
        <v>1</v>
      </c>
      <c r="G4098" s="24"/>
      <c r="H4098" s="24"/>
      <c r="I4098" s="24"/>
      <c r="J4098" s="24"/>
      <c r="K4098" s="24"/>
      <c r="L4098" s="24"/>
      <c r="M4098" s="24"/>
      <c r="N4098" s="24"/>
      <c r="O4098" s="24"/>
      <c r="P4098" s="2"/>
      <c r="Q4098" s="2"/>
      <c r="R4098" s="2"/>
    </row>
    <row r="4099" spans="1:18">
      <c r="C4099" s="2"/>
      <c r="D4099">
        <v>5</v>
      </c>
      <c r="E4099" t="s">
        <v>59</v>
      </c>
      <c r="F4099" s="6">
        <v>1</v>
      </c>
      <c r="G4099" s="6">
        <v>0</v>
      </c>
      <c r="H4099" s="24"/>
      <c r="I4099" s="24"/>
      <c r="J4099" s="24"/>
      <c r="K4099" s="24"/>
      <c r="L4099" s="24"/>
      <c r="M4099" s="24"/>
      <c r="N4099" s="24"/>
      <c r="O4099" s="24"/>
      <c r="P4099" s="2"/>
      <c r="Q4099" s="2"/>
      <c r="R4099" s="2"/>
    </row>
    <row r="4100" spans="1:18">
      <c r="C4100" s="2"/>
      <c r="D4100" s="2">
        <v>4</v>
      </c>
      <c r="E4100" s="2" t="s">
        <v>15</v>
      </c>
      <c r="F4100" s="24">
        <v>4</v>
      </c>
      <c r="G4100" s="24"/>
      <c r="H4100" s="24"/>
      <c r="I4100" s="24"/>
      <c r="J4100" s="24"/>
      <c r="K4100" s="24"/>
      <c r="L4100" s="24"/>
      <c r="M4100" s="24"/>
      <c r="N4100" s="24"/>
      <c r="O4100" s="24"/>
      <c r="P4100" s="2"/>
      <c r="Q4100" s="2"/>
      <c r="R4100" s="2"/>
    </row>
    <row r="4101" spans="1:18">
      <c r="A4101" s="8" t="s">
        <v>506</v>
      </c>
      <c r="B4101" s="9">
        <f>B4102</f>
        <v>2000</v>
      </c>
      <c r="C4101" s="26">
        <f>C4102</f>
        <v>3000</v>
      </c>
      <c r="D4101" s="2">
        <f>F4101*2+4</f>
        <v>16</v>
      </c>
      <c r="E4101" s="2" t="s">
        <v>4</v>
      </c>
      <c r="F4101" s="24">
        <v>6</v>
      </c>
      <c r="G4101" s="24">
        <f>B4101</f>
        <v>2000</v>
      </c>
      <c r="H4101" s="24">
        <f>B4104</f>
        <v>600</v>
      </c>
      <c r="I4101" s="24">
        <f>C4101</f>
        <v>3000</v>
      </c>
      <c r="J4101" s="24">
        <f>C4104</f>
        <v>600</v>
      </c>
      <c r="K4101" s="24">
        <f>C4102</f>
        <v>3000</v>
      </c>
      <c r="L4101" s="24">
        <f>C4105</f>
        <v>1600</v>
      </c>
      <c r="M4101" s="24">
        <f>B4103</f>
        <v>2500</v>
      </c>
      <c r="N4101" s="24">
        <f>B4106</f>
        <v>2100</v>
      </c>
      <c r="O4101" s="24">
        <f>A4103</f>
        <v>1500</v>
      </c>
      <c r="P4101" s="2">
        <f>A4106</f>
        <v>2100</v>
      </c>
      <c r="Q4101" s="2">
        <f>A4102</f>
        <v>1500</v>
      </c>
      <c r="R4101" s="2">
        <f>A4105</f>
        <v>1100</v>
      </c>
    </row>
    <row r="4102" spans="1:18">
      <c r="A4102" s="27">
        <f>A4103</f>
        <v>1500</v>
      </c>
      <c r="B4102" s="28">
        <v>2000</v>
      </c>
      <c r="C4102" s="29">
        <f>B4102+1000</f>
        <v>3000</v>
      </c>
      <c r="D4102" s="2">
        <v>4</v>
      </c>
      <c r="E4102" s="2" t="s">
        <v>15</v>
      </c>
      <c r="F4102" s="24">
        <v>5</v>
      </c>
      <c r="G4102" s="24"/>
      <c r="H4102" s="24"/>
      <c r="I4102" s="24"/>
      <c r="J4102" s="24"/>
      <c r="K4102" s="24"/>
      <c r="L4102" s="24"/>
      <c r="M4102" s="24"/>
      <c r="N4102" s="24"/>
      <c r="O4102" s="24"/>
      <c r="P4102" s="2"/>
      <c r="Q4102" s="2"/>
      <c r="R4102" s="2"/>
    </row>
    <row r="4103" spans="1:18">
      <c r="A4103" s="27">
        <f>B4102-500</f>
        <v>1500</v>
      </c>
      <c r="B4103" s="13">
        <f>A4103+1000</f>
        <v>2500</v>
      </c>
      <c r="C4103" s="29"/>
      <c r="D4103" s="2">
        <f>F4103*2+4</f>
        <v>16</v>
      </c>
      <c r="E4103" s="2" t="s">
        <v>4</v>
      </c>
      <c r="F4103" s="24">
        <v>6</v>
      </c>
      <c r="G4103" s="24">
        <f>A4103</f>
        <v>1500</v>
      </c>
      <c r="H4103" s="24">
        <f>A4106-200</f>
        <v>1900</v>
      </c>
      <c r="I4103" s="24">
        <f>B4101-100</f>
        <v>1900</v>
      </c>
      <c r="J4103" s="24">
        <f>B4104+100</f>
        <v>700</v>
      </c>
      <c r="K4103" s="24">
        <f>B4101+200</f>
        <v>2200</v>
      </c>
      <c r="L4103" s="24">
        <f>B4104</f>
        <v>600</v>
      </c>
      <c r="M4103" s="24">
        <f>C4102</f>
        <v>3000</v>
      </c>
      <c r="N4103" s="24">
        <f>C4105-200</f>
        <v>1400</v>
      </c>
      <c r="O4103" s="24">
        <f>C4102-100</f>
        <v>2900</v>
      </c>
      <c r="P4103" s="2">
        <f>C4105+100</f>
        <v>1700</v>
      </c>
      <c r="Q4103" s="2">
        <f>A4103+200</f>
        <v>1700</v>
      </c>
      <c r="R4103" s="2">
        <f>A4106</f>
        <v>2100</v>
      </c>
    </row>
    <row r="4104" spans="1:18">
      <c r="A4104" s="27" t="s">
        <v>505</v>
      </c>
      <c r="B4104" s="13">
        <f>B4105-1000</f>
        <v>600</v>
      </c>
      <c r="C4104" s="29">
        <f>C4105-1000</f>
        <v>600</v>
      </c>
      <c r="D4104" s="2">
        <v>4</v>
      </c>
      <c r="E4104" s="2" t="s">
        <v>15</v>
      </c>
      <c r="F4104" s="24">
        <v>4</v>
      </c>
      <c r="G4104" s="24"/>
      <c r="H4104" s="24"/>
      <c r="I4104" s="24"/>
      <c r="J4104" s="24"/>
      <c r="K4104" s="24"/>
      <c r="L4104" s="24"/>
      <c r="M4104" s="24"/>
      <c r="N4104" s="24"/>
      <c r="O4104" s="24"/>
      <c r="P4104" s="2"/>
      <c r="Q4104" s="2"/>
      <c r="R4104" s="2"/>
    </row>
    <row r="4105" spans="1:18">
      <c r="A4105" s="27">
        <f>A4106-1000</f>
        <v>1100</v>
      </c>
      <c r="B4105" s="28">
        <v>1600</v>
      </c>
      <c r="C4105" s="29">
        <f>B4105</f>
        <v>1600</v>
      </c>
      <c r="D4105" s="2">
        <v>4</v>
      </c>
      <c r="E4105" s="2" t="s">
        <v>15</v>
      </c>
      <c r="F4105" s="24">
        <v>8</v>
      </c>
      <c r="G4105" s="24"/>
      <c r="H4105" s="24"/>
      <c r="I4105" s="24"/>
      <c r="J4105" s="24"/>
      <c r="K4105" s="24"/>
      <c r="L4105" s="24"/>
      <c r="M4105" s="24"/>
      <c r="N4105" s="24"/>
      <c r="O4105" s="24"/>
      <c r="P4105" s="2"/>
      <c r="Q4105" s="2"/>
      <c r="R4105" s="2"/>
    </row>
    <row r="4106" spans="1:18">
      <c r="A4106" s="10">
        <f>B4105+500</f>
        <v>2100</v>
      </c>
      <c r="B4106" s="11">
        <f>A4106</f>
        <v>2100</v>
      </c>
      <c r="C4106" s="30"/>
      <c r="D4106" s="2">
        <f>F4106*2+4</f>
        <v>10</v>
      </c>
      <c r="E4106" s="2" t="s">
        <v>1</v>
      </c>
      <c r="F4106" s="24">
        <v>3</v>
      </c>
      <c r="G4106" s="24">
        <f>A4103</f>
        <v>1500</v>
      </c>
      <c r="H4106" s="24">
        <f>A4105</f>
        <v>1100</v>
      </c>
      <c r="I4106" s="24">
        <f>K4106</f>
        <v>2500</v>
      </c>
      <c r="J4106" s="24">
        <f>H4106</f>
        <v>1100</v>
      </c>
      <c r="K4106" s="24">
        <f>B4103</f>
        <v>2500</v>
      </c>
      <c r="L4106" s="24">
        <f>B4106</f>
        <v>2100</v>
      </c>
      <c r="M4106" s="24"/>
      <c r="N4106" s="24"/>
      <c r="O4106" s="24"/>
      <c r="P4106" s="2"/>
      <c r="Q4106" s="2"/>
      <c r="R4106" s="2"/>
    </row>
    <row r="4107" spans="1:18">
      <c r="B4107" s="2"/>
      <c r="C4107" s="2"/>
      <c r="D4107" s="2">
        <f>F4107*2+4</f>
        <v>8</v>
      </c>
      <c r="E4107" s="2" t="s">
        <v>1</v>
      </c>
      <c r="F4107" s="24">
        <v>2</v>
      </c>
      <c r="G4107" s="24">
        <f>C4101</f>
        <v>3000</v>
      </c>
      <c r="H4107" s="24">
        <f>C4104</f>
        <v>600</v>
      </c>
      <c r="I4107" s="24">
        <f>I4106</f>
        <v>2500</v>
      </c>
      <c r="J4107" s="24">
        <f>J4106</f>
        <v>1100</v>
      </c>
      <c r="K4107" s="24"/>
      <c r="L4107" s="24"/>
      <c r="M4107" s="24"/>
      <c r="N4107" s="24"/>
      <c r="O4107" s="24"/>
      <c r="P4107" s="2"/>
      <c r="Q4107" s="2"/>
      <c r="R4107" s="2"/>
    </row>
    <row r="4108" spans="1:18">
      <c r="B4108" s="2"/>
      <c r="C4108" s="2"/>
      <c r="D4108" s="2">
        <f>F4108*2+4</f>
        <v>14</v>
      </c>
      <c r="E4108" s="2" t="s">
        <v>1</v>
      </c>
      <c r="F4108" s="24">
        <v>5</v>
      </c>
      <c r="G4108" s="2">
        <v>300</v>
      </c>
      <c r="H4108" s="24">
        <f>J4108</f>
        <v>400</v>
      </c>
      <c r="I4108" s="24">
        <f>B4101</f>
        <v>2000</v>
      </c>
      <c r="J4108" s="24">
        <f>B4104-200</f>
        <v>400</v>
      </c>
      <c r="K4108" s="24">
        <f>A4103-100</f>
        <v>1400</v>
      </c>
      <c r="L4108" s="24">
        <f>A4106+100</f>
        <v>2200</v>
      </c>
      <c r="M4108" s="24">
        <f>C4102+200</f>
        <v>3200</v>
      </c>
      <c r="N4108" s="24">
        <f>C4105</f>
        <v>1600</v>
      </c>
      <c r="O4108" s="24">
        <f>I4108</f>
        <v>2000</v>
      </c>
      <c r="P4108" s="24">
        <f>J4108</f>
        <v>400</v>
      </c>
      <c r="Q4108" s="2"/>
      <c r="R4108" s="2"/>
    </row>
    <row r="4109" spans="1:18">
      <c r="C4109" s="2"/>
      <c r="D4109" s="2">
        <v>4</v>
      </c>
      <c r="E4109" s="2" t="s">
        <v>15</v>
      </c>
      <c r="F4109" s="24">
        <v>1</v>
      </c>
      <c r="G4109" s="24"/>
      <c r="H4109" s="24"/>
      <c r="I4109" s="24"/>
      <c r="J4109" s="24"/>
      <c r="K4109" s="24"/>
      <c r="L4109" s="24"/>
      <c r="M4109" s="24"/>
      <c r="N4109" s="24"/>
      <c r="O4109" s="24"/>
      <c r="P4109" s="2"/>
      <c r="Q4109" s="2"/>
      <c r="R4109" s="2"/>
    </row>
    <row r="4110" spans="1:18">
      <c r="C4110" s="2"/>
      <c r="D4110" s="2">
        <v>4</v>
      </c>
      <c r="E4110" s="2" t="s">
        <v>15</v>
      </c>
      <c r="F4110" s="24">
        <v>7</v>
      </c>
      <c r="G4110" s="24"/>
      <c r="H4110" s="24"/>
      <c r="I4110" s="24"/>
      <c r="J4110" s="24"/>
      <c r="K4110" s="24"/>
      <c r="L4110" s="24"/>
      <c r="M4110" s="24"/>
      <c r="N4110" s="24"/>
      <c r="O4110" s="24"/>
      <c r="P4110" s="2"/>
      <c r="Q4110" s="2"/>
      <c r="R4110" s="2"/>
    </row>
    <row r="4111" spans="1:18">
      <c r="C4111" s="2"/>
      <c r="D4111" s="2">
        <f>ROUNDUP(6+F4111/2,0)</f>
        <v>7</v>
      </c>
      <c r="E4111" s="2" t="s">
        <v>6</v>
      </c>
      <c r="F4111" s="2">
        <f>LEN(G4111)</f>
        <v>2</v>
      </c>
      <c r="G4111" s="24" t="s">
        <v>507</v>
      </c>
      <c r="H4111" s="24">
        <f>J4114-80</f>
        <v>1520</v>
      </c>
      <c r="I4111" s="24">
        <f>I4114+10</f>
        <v>3510</v>
      </c>
      <c r="J4111" s="24"/>
      <c r="L4111" s="24"/>
      <c r="M4111" s="24"/>
      <c r="N4111" s="24"/>
      <c r="O4111" s="24"/>
      <c r="P4111" s="2"/>
      <c r="Q4111" s="2"/>
      <c r="R4111" s="2"/>
    </row>
    <row r="4112" spans="1:18">
      <c r="C4112" s="2"/>
      <c r="D4112" s="2">
        <f>ROUNDUP(6+F4112/2,0)</f>
        <v>7</v>
      </c>
      <c r="E4112" s="2" t="s">
        <v>6</v>
      </c>
      <c r="F4112" s="2">
        <f>LEN(G4112)</f>
        <v>2</v>
      </c>
      <c r="G4112" s="24" t="s">
        <v>509</v>
      </c>
      <c r="H4112" s="24">
        <f>J4115-20</f>
        <v>80</v>
      </c>
      <c r="I4112" s="24">
        <f>I4115+70</f>
        <v>2070</v>
      </c>
      <c r="J4112" s="24"/>
      <c r="K4112" s="2"/>
      <c r="L4112" s="2"/>
      <c r="M4112" s="2"/>
      <c r="N4112" s="24"/>
      <c r="O4112" s="24"/>
      <c r="P4112" s="2"/>
      <c r="Q4112" s="2"/>
      <c r="R4112" s="2"/>
    </row>
    <row r="4113" spans="3:18">
      <c r="C4113" s="2"/>
      <c r="D4113" s="2">
        <f>ROUNDUP(6+F4113/2,0)</f>
        <v>7</v>
      </c>
      <c r="E4113" s="2" t="s">
        <v>6</v>
      </c>
      <c r="F4113" s="2">
        <f>LEN(G4113)</f>
        <v>2</v>
      </c>
      <c r="G4113" s="24" t="s">
        <v>508</v>
      </c>
      <c r="H4113" s="24">
        <f>J4116-120</f>
        <v>2380</v>
      </c>
      <c r="I4113" s="24">
        <f>I4116+150</f>
        <v>1250</v>
      </c>
      <c r="J4113" s="24"/>
      <c r="L4113" s="24"/>
      <c r="M4113" s="24"/>
      <c r="N4113" s="24"/>
      <c r="O4113" s="24"/>
      <c r="P4113" s="2"/>
      <c r="Q4113" s="2"/>
      <c r="R4113" s="2"/>
    </row>
    <row r="4114" spans="3:18">
      <c r="C4114" s="2"/>
      <c r="D4114" s="2">
        <v>18</v>
      </c>
      <c r="E4114" s="2" t="s">
        <v>111</v>
      </c>
      <c r="F4114" s="24">
        <v>100</v>
      </c>
      <c r="G4114" s="24">
        <f>B4102</f>
        <v>2000</v>
      </c>
      <c r="H4114" s="24">
        <f>B4105</f>
        <v>1600</v>
      </c>
      <c r="I4114" s="24">
        <f>G4114+1500</f>
        <v>3500</v>
      </c>
      <c r="J4114" s="24">
        <f>H4114</f>
        <v>1600</v>
      </c>
      <c r="K4114" s="24"/>
      <c r="L4114" s="24"/>
      <c r="M4114" s="24"/>
      <c r="N4114" s="24"/>
      <c r="O4114" s="24"/>
      <c r="P4114" s="2"/>
      <c r="Q4114" s="2"/>
      <c r="R4114" s="2"/>
    </row>
    <row r="4115" spans="3:18">
      <c r="C4115" s="2"/>
      <c r="D4115" s="2">
        <v>18</v>
      </c>
      <c r="E4115" s="2" t="s">
        <v>111</v>
      </c>
      <c r="F4115" s="24">
        <v>100</v>
      </c>
      <c r="G4115" s="24">
        <f>G4114</f>
        <v>2000</v>
      </c>
      <c r="H4115" s="24">
        <f>H4114</f>
        <v>1600</v>
      </c>
      <c r="I4115" s="24">
        <f>G4115</f>
        <v>2000</v>
      </c>
      <c r="J4115" s="24">
        <f>H4115-1500</f>
        <v>100</v>
      </c>
      <c r="K4115" s="24"/>
      <c r="L4115" s="24"/>
      <c r="M4115" s="24"/>
      <c r="N4115" s="24"/>
      <c r="O4115" s="24"/>
      <c r="P4115" s="2"/>
      <c r="Q4115" s="2"/>
      <c r="R4115" s="2"/>
    </row>
    <row r="4116" spans="3:18">
      <c r="C4116" s="2"/>
      <c r="D4116" s="2">
        <v>18</v>
      </c>
      <c r="E4116" s="2" t="s">
        <v>111</v>
      </c>
      <c r="F4116" s="24">
        <v>100</v>
      </c>
      <c r="G4116" s="24">
        <f>G4115</f>
        <v>2000</v>
      </c>
      <c r="H4116" s="24">
        <f>H4115</f>
        <v>1600</v>
      </c>
      <c r="I4116" s="24">
        <f>G4116-900</f>
        <v>1100</v>
      </c>
      <c r="J4116" s="24">
        <f>H4116+900</f>
        <v>2500</v>
      </c>
      <c r="K4116" s="24"/>
      <c r="L4116" s="24"/>
      <c r="M4116" s="24"/>
      <c r="N4116" s="24"/>
      <c r="O4116" s="24"/>
      <c r="P4116" s="2"/>
      <c r="Q4116" s="2"/>
      <c r="R4116" s="2"/>
    </row>
    <row r="4117" spans="3:18">
      <c r="C4117" s="2"/>
      <c r="D4117" s="2">
        <f t="shared" ref="D4117:D4122" si="211">ROUNDUP(6+F4117/2,0)</f>
        <v>7</v>
      </c>
      <c r="E4117" s="2" t="s">
        <v>6</v>
      </c>
      <c r="F4117" s="24">
        <f t="shared" ref="F4117:F4122" si="212">LEN(G4117)</f>
        <v>2</v>
      </c>
      <c r="G4117" s="36" t="s">
        <v>510</v>
      </c>
      <c r="H4117" s="24">
        <v>1440</v>
      </c>
      <c r="I4117" s="24">
        <v>1800</v>
      </c>
      <c r="J4117" s="24"/>
      <c r="K4117" s="24"/>
      <c r="L4117" s="24"/>
      <c r="M4117" s="24"/>
      <c r="N4117" s="24"/>
      <c r="O4117" s="24"/>
      <c r="P4117" s="2"/>
      <c r="Q4117" s="2"/>
      <c r="R4117" s="2"/>
    </row>
    <row r="4118" spans="3:18">
      <c r="C4118" s="2"/>
      <c r="D4118" s="2">
        <f t="shared" si="211"/>
        <v>7</v>
      </c>
      <c r="E4118" s="2" t="s">
        <v>6</v>
      </c>
      <c r="F4118" s="2">
        <f t="shared" si="212"/>
        <v>2</v>
      </c>
      <c r="G4118" s="36" t="s">
        <v>167</v>
      </c>
      <c r="H4118" s="24">
        <v>1100</v>
      </c>
      <c r="I4118" s="24">
        <v>1520</v>
      </c>
      <c r="J4118" s="24"/>
      <c r="L4118" s="24"/>
      <c r="M4118" s="24"/>
      <c r="N4118" s="24"/>
      <c r="O4118" s="24"/>
      <c r="P4118" s="2"/>
      <c r="Q4118" s="2"/>
      <c r="R4118" s="2"/>
    </row>
    <row r="4119" spans="3:18">
      <c r="C4119" s="2"/>
      <c r="D4119" s="2">
        <f t="shared" si="211"/>
        <v>7</v>
      </c>
      <c r="E4119" s="2" t="s">
        <v>6</v>
      </c>
      <c r="F4119" s="2">
        <f t="shared" si="212"/>
        <v>2</v>
      </c>
      <c r="G4119" s="24" t="s">
        <v>507</v>
      </c>
      <c r="H4119" s="24">
        <f>J4123-80</f>
        <v>2520</v>
      </c>
      <c r="I4119" s="24">
        <f>I4123+10</f>
        <v>910</v>
      </c>
      <c r="J4119" s="24"/>
      <c r="K4119" s="24"/>
      <c r="L4119" s="24"/>
      <c r="M4119" s="24"/>
      <c r="N4119" s="24"/>
      <c r="O4119" s="24"/>
      <c r="P4119" s="2"/>
      <c r="Q4119" s="2"/>
      <c r="R4119" s="2"/>
    </row>
    <row r="4120" spans="3:18">
      <c r="C4120" s="2"/>
      <c r="D4120" s="2">
        <f t="shared" si="211"/>
        <v>7</v>
      </c>
      <c r="E4120" s="2" t="s">
        <v>6</v>
      </c>
      <c r="F4120" s="2">
        <f t="shared" si="212"/>
        <v>2</v>
      </c>
      <c r="G4120" s="24" t="s">
        <v>509</v>
      </c>
      <c r="H4120" s="24">
        <f>J4124-160</f>
        <v>1940</v>
      </c>
      <c r="I4120" s="24">
        <f>I4124-60</f>
        <v>340</v>
      </c>
      <c r="J4120" s="24"/>
      <c r="K4120" s="24"/>
      <c r="L4120" s="24"/>
      <c r="M4120" s="24"/>
      <c r="N4120" s="24"/>
      <c r="O4120" s="24"/>
      <c r="P4120" s="2"/>
      <c r="Q4120" s="2"/>
      <c r="R4120" s="2"/>
    </row>
    <row r="4121" spans="3:18">
      <c r="C4121" s="2"/>
      <c r="D4121" s="2">
        <f t="shared" si="211"/>
        <v>7</v>
      </c>
      <c r="E4121" s="2" t="s">
        <v>6</v>
      </c>
      <c r="F4121" s="2">
        <f t="shared" si="212"/>
        <v>2</v>
      </c>
      <c r="G4121" s="24" t="s">
        <v>508</v>
      </c>
      <c r="H4121" s="24">
        <f>J4125-120</f>
        <v>2780</v>
      </c>
      <c r="I4121" s="24">
        <f>I4125+150</f>
        <v>250</v>
      </c>
      <c r="J4121" s="24"/>
      <c r="K4121" s="24"/>
      <c r="L4121" s="24"/>
      <c r="M4121" s="24"/>
      <c r="N4121" s="24"/>
      <c r="O4121" s="24"/>
      <c r="P4121" s="2"/>
      <c r="Q4121" s="2"/>
      <c r="R4121" s="2"/>
    </row>
    <row r="4122" spans="3:18">
      <c r="C4122" s="2"/>
      <c r="D4122" s="2">
        <f t="shared" si="211"/>
        <v>15</v>
      </c>
      <c r="E4122" s="2" t="s">
        <v>6</v>
      </c>
      <c r="F4122" s="2">
        <f t="shared" si="212"/>
        <v>17</v>
      </c>
      <c r="G4122" s="36" t="s">
        <v>618</v>
      </c>
      <c r="H4122" s="24">
        <v>10</v>
      </c>
      <c r="I4122" s="24">
        <v>10</v>
      </c>
      <c r="J4122" s="24"/>
      <c r="K4122" s="24"/>
      <c r="L4122" s="24"/>
      <c r="M4122" s="24"/>
      <c r="N4122" s="24"/>
      <c r="O4122" s="24"/>
      <c r="P4122" s="2"/>
      <c r="Q4122" s="2"/>
      <c r="R4122" s="2"/>
    </row>
    <row r="4123" spans="3:18">
      <c r="C4123" s="2"/>
      <c r="D4123" s="2">
        <v>18</v>
      </c>
      <c r="E4123" s="2" t="s">
        <v>111</v>
      </c>
      <c r="F4123" s="24">
        <v>100</v>
      </c>
      <c r="G4123" s="24">
        <v>400</v>
      </c>
      <c r="H4123" s="24">
        <v>2600</v>
      </c>
      <c r="I4123" s="24">
        <f>G4123+500</f>
        <v>900</v>
      </c>
      <c r="J4123" s="24">
        <f>H4123</f>
        <v>2600</v>
      </c>
      <c r="K4123" s="24"/>
      <c r="L4123" s="24"/>
      <c r="M4123" s="24"/>
      <c r="N4123" s="24"/>
      <c r="O4123" s="24"/>
      <c r="P4123" s="2"/>
      <c r="Q4123" s="2"/>
      <c r="R4123" s="2"/>
    </row>
    <row r="4124" spans="3:18">
      <c r="C4124" s="2"/>
      <c r="D4124" s="2">
        <v>18</v>
      </c>
      <c r="E4124" s="2" t="s">
        <v>111</v>
      </c>
      <c r="F4124" s="24">
        <v>100</v>
      </c>
      <c r="G4124" s="24">
        <f>G4123</f>
        <v>400</v>
      </c>
      <c r="H4124" s="24">
        <f>H4123</f>
        <v>2600</v>
      </c>
      <c r="I4124" s="24">
        <f>G4124</f>
        <v>400</v>
      </c>
      <c r="J4124" s="24">
        <f>H4124-500</f>
        <v>2100</v>
      </c>
      <c r="K4124" s="24"/>
      <c r="L4124" s="24"/>
      <c r="M4124" s="24"/>
      <c r="N4124" s="24"/>
      <c r="O4124" s="24"/>
      <c r="P4124" s="2"/>
      <c r="Q4124" s="2"/>
      <c r="R4124" s="2"/>
    </row>
    <row r="4125" spans="3:18">
      <c r="C4125" s="2"/>
      <c r="D4125" s="2">
        <v>18</v>
      </c>
      <c r="E4125" s="2" t="s">
        <v>111</v>
      </c>
      <c r="F4125" s="24">
        <v>100</v>
      </c>
      <c r="G4125" s="24">
        <f>G4124</f>
        <v>400</v>
      </c>
      <c r="H4125" s="24">
        <f>H4124</f>
        <v>2600</v>
      </c>
      <c r="I4125" s="24">
        <f>G4125-300</f>
        <v>100</v>
      </c>
      <c r="J4125" s="24">
        <f>H4125+300</f>
        <v>2900</v>
      </c>
      <c r="L4125" s="24"/>
      <c r="M4125" s="24"/>
      <c r="N4125" s="24"/>
      <c r="O4125" s="24"/>
      <c r="P4125" s="2"/>
      <c r="Q4125" s="2"/>
      <c r="R4125" s="2"/>
    </row>
    <row r="4126" spans="3:18">
      <c r="C4126" s="2"/>
      <c r="D4126" s="2">
        <v>44</v>
      </c>
      <c r="E4126" s="2" t="s">
        <v>112</v>
      </c>
      <c r="F4126" s="2">
        <v>100</v>
      </c>
      <c r="G4126" s="2">
        <v>600</v>
      </c>
      <c r="H4126" s="24">
        <f>H4108</f>
        <v>400</v>
      </c>
      <c r="I4126" s="24">
        <f>G4126</f>
        <v>600</v>
      </c>
      <c r="J4126" s="2">
        <f>H4124</f>
        <v>2600</v>
      </c>
      <c r="K4126" s="2"/>
      <c r="L4126" s="24"/>
      <c r="M4126" s="24"/>
      <c r="N4126" s="24"/>
      <c r="O4126" s="24"/>
      <c r="P4126" s="2"/>
      <c r="Q4126" s="2"/>
      <c r="R4126" s="2"/>
    </row>
    <row r="4127" spans="3:18">
      <c r="C4127" s="2"/>
      <c r="D4127" s="2">
        <v>64</v>
      </c>
      <c r="E4127" s="2" t="s">
        <v>114</v>
      </c>
      <c r="F4127" s="2">
        <v>100</v>
      </c>
      <c r="G4127" s="24">
        <v>900</v>
      </c>
      <c r="H4127" s="24">
        <f>H4126</f>
        <v>400</v>
      </c>
      <c r="I4127" s="24">
        <f>G4127</f>
        <v>900</v>
      </c>
      <c r="J4127" s="6">
        <f>B4105</f>
        <v>1600</v>
      </c>
      <c r="K4127" s="6">
        <f>I4127</f>
        <v>900</v>
      </c>
      <c r="L4127" s="24">
        <f>B4104</f>
        <v>600</v>
      </c>
      <c r="M4127" s="24"/>
      <c r="N4127" s="24"/>
      <c r="O4127" s="24"/>
      <c r="P4127" s="2"/>
      <c r="Q4127" s="2"/>
      <c r="R4127" s="2"/>
    </row>
    <row r="4128" spans="3:18">
      <c r="C4128" s="2"/>
      <c r="D4128" s="2">
        <v>64</v>
      </c>
      <c r="E4128" s="2" t="s">
        <v>114</v>
      </c>
      <c r="F4128" s="2">
        <v>100</v>
      </c>
      <c r="G4128" s="2">
        <v>200</v>
      </c>
      <c r="H4128" s="24">
        <f>H4126</f>
        <v>400</v>
      </c>
      <c r="I4128" s="24">
        <f>G4128</f>
        <v>200</v>
      </c>
      <c r="J4128" s="2">
        <f>J4126</f>
        <v>2600</v>
      </c>
      <c r="K4128" s="2">
        <f>G4128</f>
        <v>200</v>
      </c>
      <c r="L4128" s="2">
        <f>J4127</f>
        <v>1600</v>
      </c>
      <c r="M4128" s="24"/>
      <c r="N4128" s="24"/>
      <c r="O4128" s="24"/>
      <c r="P4128" s="2"/>
      <c r="Q4128" s="2"/>
      <c r="R4128" s="2"/>
    </row>
    <row r="4129" spans="1:18">
      <c r="C4129" s="2"/>
      <c r="D4129" s="2">
        <v>4</v>
      </c>
      <c r="E4129" s="2" t="s">
        <v>15</v>
      </c>
      <c r="F4129" s="24">
        <v>6</v>
      </c>
      <c r="G4129" s="36"/>
      <c r="H4129" s="24"/>
      <c r="I4129" s="24"/>
      <c r="J4129" s="24"/>
      <c r="K4129" s="24"/>
      <c r="L4129" s="36"/>
      <c r="M4129" s="24"/>
      <c r="N4129" s="24"/>
      <c r="O4129" s="24"/>
      <c r="P4129" s="2"/>
      <c r="Q4129" s="2"/>
      <c r="R4129" s="2"/>
    </row>
    <row r="4130" spans="1:18">
      <c r="D4130" s="2">
        <f>ROUNDUP(6+F4130/2,0)</f>
        <v>7</v>
      </c>
      <c r="E4130" s="2" t="s">
        <v>6</v>
      </c>
      <c r="F4130" s="24">
        <f>LEN(G4130)</f>
        <v>1</v>
      </c>
      <c r="G4130" s="36" t="s">
        <v>22</v>
      </c>
      <c r="H4130" s="24">
        <f>(H4126+J4126)/2+100</f>
        <v>1600</v>
      </c>
      <c r="I4130" s="24">
        <f>I4126-200</f>
        <v>400</v>
      </c>
      <c r="J4130" s="24"/>
      <c r="K4130" s="24"/>
      <c r="L4130" s="24"/>
      <c r="M4130" s="24"/>
      <c r="N4130" s="24"/>
      <c r="O4130" s="24"/>
      <c r="P4130" s="2"/>
      <c r="Q4130" s="2"/>
      <c r="R4130" s="2"/>
    </row>
    <row r="4131" spans="1:18">
      <c r="A4131" s="2"/>
      <c r="B4131" s="2"/>
      <c r="C4131" s="2"/>
      <c r="D4131" s="2">
        <f>ROUNDUP(6+F4131/2,0)</f>
        <v>8</v>
      </c>
      <c r="E4131" s="2" t="s">
        <v>6</v>
      </c>
      <c r="F4131" s="24">
        <f>LEN(G4131)</f>
        <v>3</v>
      </c>
      <c r="G4131" s="36" t="s">
        <v>513</v>
      </c>
      <c r="H4131" s="24">
        <f>(L4127+J4127)/2+100</f>
        <v>1200</v>
      </c>
      <c r="I4131" s="24">
        <f>I4127-200</f>
        <v>700</v>
      </c>
      <c r="J4131" s="24"/>
      <c r="K4131" s="24"/>
      <c r="L4131" s="24"/>
      <c r="M4131" s="24"/>
      <c r="N4131" s="24"/>
      <c r="O4131" s="24"/>
      <c r="P4131" s="2"/>
      <c r="Q4131" s="2"/>
      <c r="R4131" s="2"/>
    </row>
    <row r="4132" spans="1:18">
      <c r="A4132" s="2"/>
      <c r="B4132" s="2"/>
      <c r="C4132" s="2"/>
      <c r="D4132" s="2">
        <f>ROUNDUP(6+F4132/2,0)</f>
        <v>7</v>
      </c>
      <c r="E4132" s="2" t="s">
        <v>6</v>
      </c>
      <c r="F4132" s="24">
        <f>LEN(G4132)</f>
        <v>1</v>
      </c>
      <c r="G4132" s="36" t="s">
        <v>616</v>
      </c>
      <c r="H4132" s="24">
        <f>(H4128+L4128)/2+100</f>
        <v>1100</v>
      </c>
      <c r="I4132" s="24">
        <f>I4128-200</f>
        <v>0</v>
      </c>
      <c r="J4132" s="24"/>
      <c r="K4132" s="24"/>
      <c r="L4132" s="24"/>
      <c r="M4132" s="24"/>
      <c r="N4132" s="24"/>
      <c r="O4132" s="24"/>
      <c r="P4132" s="2"/>
      <c r="Q4132" s="2"/>
      <c r="R4132" s="2"/>
    </row>
    <row r="4133" spans="1:18">
      <c r="A4133" s="2"/>
      <c r="B4133" s="2"/>
      <c r="C4133" s="2"/>
      <c r="D4133" s="2">
        <f>ROUNDUP(6+F4133/2,0)</f>
        <v>7</v>
      </c>
      <c r="E4133" s="2" t="s">
        <v>6</v>
      </c>
      <c r="F4133" s="24">
        <f>LEN(G4133)</f>
        <v>2</v>
      </c>
      <c r="G4133" s="36" t="s">
        <v>617</v>
      </c>
      <c r="H4133" s="24">
        <f>(H4127+L4127)/2+100</f>
        <v>600</v>
      </c>
      <c r="I4133" s="24">
        <f>I4127-200</f>
        <v>700</v>
      </c>
      <c r="J4133" s="24"/>
      <c r="K4133" s="24"/>
      <c r="L4133" s="24"/>
      <c r="M4133" s="24"/>
      <c r="N4133" s="24"/>
      <c r="O4133" s="24"/>
      <c r="P4133" s="2"/>
      <c r="Q4133" s="2"/>
      <c r="R4133" s="2"/>
    </row>
    <row r="4134" spans="1:18">
      <c r="A4134" s="2"/>
      <c r="B4134" s="2"/>
      <c r="C4134" s="2"/>
      <c r="D4134" s="2">
        <f>ROUNDUP(6+F4134/2,0)</f>
        <v>10</v>
      </c>
      <c r="E4134" s="2" t="s">
        <v>6</v>
      </c>
      <c r="F4134" s="24">
        <f>LEN(G4134)</f>
        <v>7</v>
      </c>
      <c r="G4134" s="36" t="s">
        <v>619</v>
      </c>
      <c r="H4134" s="24">
        <f>(J4128+L4128)/2+250</f>
        <v>2350</v>
      </c>
      <c r="I4134" s="24">
        <f>I4128-200</f>
        <v>0</v>
      </c>
      <c r="J4134" s="2"/>
      <c r="K4134" s="2"/>
      <c r="L4134" s="2"/>
      <c r="M4134" s="2"/>
      <c r="N4134" s="2"/>
      <c r="O4134" s="2"/>
      <c r="P4134" s="2"/>
      <c r="Q4134" s="2"/>
      <c r="R4134" s="2"/>
    </row>
    <row r="4135" spans="1:18">
      <c r="A4135" s="2"/>
      <c r="B4135" s="2"/>
      <c r="C4135" s="2"/>
      <c r="D4135" s="2">
        <v>4</v>
      </c>
      <c r="E4135" s="2" t="s">
        <v>15</v>
      </c>
      <c r="F4135" s="24">
        <v>3</v>
      </c>
      <c r="G4135" s="2"/>
      <c r="H4135" s="24"/>
      <c r="I4135" s="24"/>
      <c r="J4135" s="2"/>
      <c r="K4135" s="2"/>
      <c r="L4135" s="2"/>
      <c r="M4135" s="2"/>
      <c r="N4135" s="2"/>
      <c r="O4135" s="2"/>
      <c r="P4135" s="2"/>
      <c r="Q4135" s="2"/>
      <c r="R4135" s="2"/>
    </row>
    <row r="4136" spans="1:18">
      <c r="A4136" s="2"/>
      <c r="B4136" s="2"/>
      <c r="C4136" s="2"/>
      <c r="D4136" s="2">
        <v>4</v>
      </c>
      <c r="E4136" s="2" t="s">
        <v>15</v>
      </c>
      <c r="F4136" s="24">
        <v>2</v>
      </c>
      <c r="G4136" s="2"/>
      <c r="H4136" s="24"/>
      <c r="I4136" s="24"/>
      <c r="J4136" s="2"/>
      <c r="K4136" s="2"/>
      <c r="L4136" s="2"/>
      <c r="M4136" s="2"/>
      <c r="N4136" s="2"/>
      <c r="O4136" s="2"/>
      <c r="P4136" s="2"/>
      <c r="Q4136" s="2"/>
      <c r="R4136" s="2"/>
    </row>
    <row r="4137" spans="1:18">
      <c r="A4137" s="2"/>
      <c r="B4137" s="2">
        <v>400</v>
      </c>
      <c r="C4137" s="2">
        <v>0</v>
      </c>
      <c r="D4137" s="2">
        <f t="shared" ref="D4137:D4145" si="213">F4137*2+4</f>
        <v>10</v>
      </c>
      <c r="E4137" s="2" t="s">
        <v>4</v>
      </c>
      <c r="F4137" s="24">
        <v>3</v>
      </c>
      <c r="G4137" s="2">
        <f>I4103-B4137</f>
        <v>1500</v>
      </c>
      <c r="H4137" s="2">
        <f>J4103-C4137</f>
        <v>700</v>
      </c>
      <c r="I4137" s="2">
        <f>K4103-B4137</f>
        <v>1800</v>
      </c>
      <c r="J4137" s="2">
        <f>L4103-C4137</f>
        <v>600</v>
      </c>
      <c r="K4137" s="2">
        <f>I4108-B4137</f>
        <v>1600</v>
      </c>
      <c r="L4137" s="2">
        <f>J4108-C4137</f>
        <v>400</v>
      </c>
      <c r="M4137" s="2"/>
      <c r="N4137" s="2"/>
      <c r="O4137" s="2"/>
      <c r="P4137" s="2"/>
      <c r="Q4137" s="2"/>
      <c r="R4137" s="2"/>
    </row>
    <row r="4138" spans="1:18">
      <c r="A4138" s="2"/>
      <c r="B4138" s="2">
        <v>0</v>
      </c>
      <c r="C4138" s="2">
        <v>-300</v>
      </c>
      <c r="D4138" s="2">
        <f t="shared" si="213"/>
        <v>10</v>
      </c>
      <c r="E4138" s="2" t="s">
        <v>4</v>
      </c>
      <c r="F4138" s="24">
        <v>3</v>
      </c>
      <c r="G4138" s="2">
        <f>M4103-B4138</f>
        <v>3000</v>
      </c>
      <c r="H4138" s="2">
        <f>N4103-C4138</f>
        <v>1700</v>
      </c>
      <c r="I4138" s="2">
        <f>O4103-B4138</f>
        <v>2900</v>
      </c>
      <c r="J4138" s="2">
        <f>P4103-C4138</f>
        <v>2000</v>
      </c>
      <c r="K4138" s="2">
        <f>M4108-B4138</f>
        <v>3200</v>
      </c>
      <c r="L4138" s="2">
        <f>N4108-C4138</f>
        <v>1900</v>
      </c>
      <c r="M4138" s="2"/>
      <c r="N4138" s="2"/>
      <c r="O4138" s="2"/>
      <c r="P4138" s="2"/>
      <c r="Q4138" s="2"/>
      <c r="R4138" s="2"/>
    </row>
    <row r="4139" spans="1:18">
      <c r="A4139" s="2"/>
      <c r="B4139" s="2">
        <v>300</v>
      </c>
      <c r="C4139" s="2">
        <v>-150</v>
      </c>
      <c r="D4139" s="2">
        <f t="shared" si="213"/>
        <v>10</v>
      </c>
      <c r="E4139" s="2" t="s">
        <v>4</v>
      </c>
      <c r="F4139" s="24">
        <v>3</v>
      </c>
      <c r="G4139" s="2">
        <f>Q4103-B4139</f>
        <v>1400</v>
      </c>
      <c r="H4139" s="2">
        <f>R4103-C4139</f>
        <v>2250</v>
      </c>
      <c r="I4139" s="24">
        <f>G4103-B4139</f>
        <v>1200</v>
      </c>
      <c r="J4139" s="24">
        <f>H4103-C4139</f>
        <v>2050</v>
      </c>
      <c r="K4139" s="2">
        <f>K4108-B4139</f>
        <v>1100</v>
      </c>
      <c r="L4139" s="2">
        <f>L4108-C4139</f>
        <v>2350</v>
      </c>
      <c r="M4139" s="2"/>
      <c r="N4139" s="2"/>
      <c r="O4139" s="2"/>
      <c r="P4139" s="2"/>
      <c r="Q4139" s="2"/>
      <c r="R4139" s="2"/>
    </row>
    <row r="4140" spans="1:18">
      <c r="A4140" s="2"/>
      <c r="B4140" s="2"/>
      <c r="C4140" s="2"/>
      <c r="D4140" s="2">
        <f t="shared" si="213"/>
        <v>10</v>
      </c>
      <c r="E4140" s="3" t="s">
        <v>1</v>
      </c>
      <c r="F4140" s="24">
        <v>3</v>
      </c>
      <c r="G4140" s="2">
        <f>K4137</f>
        <v>1600</v>
      </c>
      <c r="H4140" s="24">
        <f>L4137</f>
        <v>400</v>
      </c>
      <c r="I4140" s="24">
        <f>G4140</f>
        <v>1600</v>
      </c>
      <c r="J4140" s="2">
        <f>L4140</f>
        <v>600</v>
      </c>
      <c r="K4140" s="2">
        <f>I4137</f>
        <v>1800</v>
      </c>
      <c r="L4140" s="2">
        <f>J4137</f>
        <v>600</v>
      </c>
      <c r="M4140" s="2"/>
      <c r="N4140" s="2"/>
      <c r="O4140" s="2"/>
      <c r="P4140" s="2"/>
      <c r="Q4140" s="2"/>
      <c r="R4140" s="2"/>
    </row>
    <row r="4141" spans="1:18">
      <c r="A4141" s="2"/>
      <c r="B4141" s="2"/>
      <c r="C4141" s="2"/>
      <c r="D4141" s="2">
        <f t="shared" si="213"/>
        <v>10</v>
      </c>
      <c r="E4141" s="3" t="s">
        <v>1</v>
      </c>
      <c r="F4141" s="24">
        <v>3</v>
      </c>
      <c r="G4141" s="2">
        <f>G4138</f>
        <v>3000</v>
      </c>
      <c r="H4141" s="2">
        <f>H4138</f>
        <v>1700</v>
      </c>
      <c r="I4141" s="24">
        <f>G4141</f>
        <v>3000</v>
      </c>
      <c r="J4141" s="2">
        <f>L4141</f>
        <v>1900</v>
      </c>
      <c r="K4141" s="2">
        <f>K4138</f>
        <v>3200</v>
      </c>
      <c r="L4141" s="2">
        <f>L4138</f>
        <v>1900</v>
      </c>
      <c r="M4141" s="2"/>
      <c r="N4141" s="2"/>
      <c r="O4141" s="2"/>
      <c r="P4141" s="2"/>
      <c r="Q4141" s="2"/>
      <c r="R4141" s="2"/>
    </row>
    <row r="4142" spans="1:18">
      <c r="A4142" s="2"/>
      <c r="B4142" s="2"/>
      <c r="C4142" s="2"/>
      <c r="D4142" s="2">
        <f t="shared" si="213"/>
        <v>10</v>
      </c>
      <c r="E4142" s="3" t="s">
        <v>1</v>
      </c>
      <c r="F4142" s="24">
        <v>3</v>
      </c>
      <c r="G4142" s="2">
        <f t="shared" ref="G4142:H4145" si="214">I4139</f>
        <v>1200</v>
      </c>
      <c r="H4142" s="2">
        <f t="shared" si="214"/>
        <v>2050</v>
      </c>
      <c r="I4142" s="24">
        <f>G4142</f>
        <v>1200</v>
      </c>
      <c r="J4142" s="2">
        <f>L4142</f>
        <v>2250</v>
      </c>
      <c r="K4142" s="2">
        <f>G4139</f>
        <v>1400</v>
      </c>
      <c r="L4142" s="2">
        <f>H4139</f>
        <v>2250</v>
      </c>
      <c r="M4142" s="2"/>
      <c r="N4142" s="2"/>
      <c r="O4142" s="2"/>
      <c r="P4142" s="2"/>
      <c r="Q4142" s="2"/>
      <c r="R4142" s="2"/>
    </row>
    <row r="4143" spans="1:18">
      <c r="A4143" s="2"/>
      <c r="B4143" s="2"/>
      <c r="C4143" s="2"/>
      <c r="D4143" s="2">
        <f t="shared" si="213"/>
        <v>8</v>
      </c>
      <c r="E4143" s="3" t="s">
        <v>1</v>
      </c>
      <c r="F4143" s="24">
        <v>2</v>
      </c>
      <c r="G4143" s="2">
        <f t="shared" si="214"/>
        <v>1600</v>
      </c>
      <c r="H4143" s="2">
        <f t="shared" si="214"/>
        <v>600</v>
      </c>
      <c r="I4143" s="24">
        <f>G4137</f>
        <v>1500</v>
      </c>
      <c r="J4143" s="24">
        <f>H4137</f>
        <v>700</v>
      </c>
      <c r="K4143" s="2"/>
      <c r="L4143" s="2"/>
      <c r="M4143" s="2"/>
      <c r="N4143" s="2"/>
      <c r="O4143" s="2"/>
      <c r="P4143" s="2"/>
      <c r="Q4143" s="2"/>
      <c r="R4143" s="2"/>
    </row>
    <row r="4144" spans="1:18">
      <c r="A4144" s="2"/>
      <c r="B4144" s="2"/>
      <c r="C4144" s="2"/>
      <c r="D4144" s="2">
        <f t="shared" si="213"/>
        <v>8</v>
      </c>
      <c r="E4144" s="3" t="s">
        <v>1</v>
      </c>
      <c r="F4144" s="24">
        <v>2</v>
      </c>
      <c r="G4144" s="2">
        <f t="shared" si="214"/>
        <v>3000</v>
      </c>
      <c r="H4144" s="2">
        <f t="shared" si="214"/>
        <v>1900</v>
      </c>
      <c r="I4144" s="24">
        <f>I4138</f>
        <v>2900</v>
      </c>
      <c r="J4144" s="24">
        <f>J4138</f>
        <v>2000</v>
      </c>
      <c r="K4144" s="2"/>
      <c r="L4144" s="2"/>
      <c r="M4144" s="2"/>
      <c r="N4144" s="2"/>
      <c r="O4144" s="2"/>
      <c r="P4144" s="2"/>
      <c r="Q4144" s="2"/>
      <c r="R4144" s="2"/>
    </row>
    <row r="4145" spans="1:31">
      <c r="A4145" s="2"/>
      <c r="B4145" s="2"/>
      <c r="C4145" s="2"/>
      <c r="D4145" s="2">
        <f t="shared" si="213"/>
        <v>8</v>
      </c>
      <c r="E4145" s="3" t="s">
        <v>1</v>
      </c>
      <c r="F4145" s="24">
        <v>2</v>
      </c>
      <c r="G4145" s="2">
        <f t="shared" si="214"/>
        <v>1200</v>
      </c>
      <c r="H4145" s="2">
        <f t="shared" si="214"/>
        <v>2250</v>
      </c>
      <c r="I4145" s="24">
        <f>K4139</f>
        <v>1100</v>
      </c>
      <c r="J4145" s="24">
        <f>L4139</f>
        <v>2350</v>
      </c>
      <c r="K4145" s="2"/>
      <c r="L4145" s="2"/>
      <c r="M4145" s="2"/>
      <c r="N4145" s="2"/>
      <c r="O4145" s="2"/>
      <c r="P4145" s="2"/>
      <c r="Q4145" s="2"/>
      <c r="R4145" s="2"/>
    </row>
    <row r="4149" spans="1:31">
      <c r="A4149" s="48" t="s">
        <v>383</v>
      </c>
      <c r="B4149" s="1" t="s">
        <v>634</v>
      </c>
      <c r="D4149" t="s">
        <v>449</v>
      </c>
      <c r="E4149">
        <v>52695</v>
      </c>
      <c r="F4149" s="6">
        <v>39622</v>
      </c>
      <c r="G4149" s="6">
        <v>0</v>
      </c>
      <c r="H4149" s="6">
        <v>0</v>
      </c>
      <c r="I4149" s="6">
        <v>0</v>
      </c>
      <c r="J4149" s="6">
        <v>11000</v>
      </c>
      <c r="K4149" s="6">
        <v>3800</v>
      </c>
      <c r="L4149" s="6">
        <v>1920</v>
      </c>
      <c r="M4149" s="6">
        <v>0</v>
      </c>
      <c r="N4149" s="6">
        <v>0</v>
      </c>
      <c r="O4149" s="6" t="e">
        <f ca="1">checksummeint(G4149,H4149,I4149,J4149,K4149,L4149,M4149,N4149)</f>
        <v>#NAME?</v>
      </c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  <c r="AB4149" s="2"/>
    </row>
    <row r="4150" spans="1:31">
      <c r="A4150" s="1"/>
      <c r="D4150">
        <v>28</v>
      </c>
      <c r="E4150" t="s">
        <v>12</v>
      </c>
      <c r="F4150" s="6">
        <v>360</v>
      </c>
      <c r="G4150" s="6">
        <v>0</v>
      </c>
      <c r="H4150" s="6">
        <v>0</v>
      </c>
      <c r="I4150" s="6">
        <v>0</v>
      </c>
      <c r="J4150" s="6">
        <v>400</v>
      </c>
      <c r="K4150" s="6">
        <v>0</v>
      </c>
      <c r="L4150" s="6">
        <v>0</v>
      </c>
      <c r="M4150" s="6">
        <v>0</v>
      </c>
      <c r="N4150" s="6">
        <v>0</v>
      </c>
      <c r="O4150" s="6" t="s">
        <v>19</v>
      </c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  <c r="AB4150" s="2"/>
    </row>
    <row r="4151" spans="1:31">
      <c r="A4151" s="1"/>
      <c r="D4151">
        <v>8</v>
      </c>
      <c r="E4151" t="s">
        <v>14</v>
      </c>
      <c r="F4151" s="6">
        <v>0</v>
      </c>
      <c r="G4151" s="6">
        <v>16</v>
      </c>
      <c r="H4151" s="6">
        <v>0</v>
      </c>
      <c r="I4151" s="6">
        <v>0</v>
      </c>
      <c r="J4151" s="6">
        <v>0</v>
      </c>
      <c r="M4151" s="44"/>
      <c r="N4151" s="45"/>
      <c r="O4151" s="46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  <c r="AB4151" s="2"/>
    </row>
    <row r="4152" spans="1:31">
      <c r="A4152" s="1"/>
      <c r="D4152">
        <v>8</v>
      </c>
      <c r="E4152" t="s">
        <v>14</v>
      </c>
      <c r="F4152" s="6">
        <v>0</v>
      </c>
      <c r="G4152" s="6">
        <v>32</v>
      </c>
      <c r="H4152" s="6">
        <v>0</v>
      </c>
      <c r="I4152" s="6">
        <v>0</v>
      </c>
      <c r="J4152" s="6">
        <v>0</v>
      </c>
      <c r="M4152" s="44"/>
      <c r="N4152" s="45"/>
      <c r="O4152" s="46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  <c r="AB4152" s="2"/>
    </row>
    <row r="4153" spans="1:31">
      <c r="A4153" s="1"/>
      <c r="D4153">
        <v>7</v>
      </c>
      <c r="E4153" t="s">
        <v>11</v>
      </c>
      <c r="F4153" s="6">
        <v>0</v>
      </c>
      <c r="G4153" s="24">
        <v>-1</v>
      </c>
      <c r="H4153" s="24">
        <v>0</v>
      </c>
      <c r="I4153" s="6">
        <v>0</v>
      </c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  <c r="AB4153" s="2"/>
    </row>
    <row r="4154" spans="1:31">
      <c r="A4154" s="1"/>
      <c r="D4154">
        <v>7</v>
      </c>
      <c r="E4154" t="s">
        <v>11</v>
      </c>
      <c r="F4154" s="6">
        <v>1</v>
      </c>
      <c r="G4154" s="24">
        <v>0</v>
      </c>
      <c r="H4154" s="24">
        <v>0</v>
      </c>
      <c r="I4154" s="6">
        <v>0</v>
      </c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  <c r="AB4154" s="2"/>
    </row>
    <row r="4155" spans="1:31">
      <c r="A4155" s="1"/>
      <c r="D4155">
        <v>5</v>
      </c>
      <c r="E4155" t="s">
        <v>59</v>
      </c>
      <c r="F4155">
        <v>1</v>
      </c>
      <c r="G4155">
        <v>0</v>
      </c>
      <c r="H4155" s="24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  <c r="AB4155" s="2"/>
    </row>
    <row r="4156" spans="1:31">
      <c r="A4156" s="1"/>
      <c r="D4156" s="2">
        <v>4</v>
      </c>
      <c r="E4156" s="2" t="s">
        <v>15</v>
      </c>
      <c r="F4156" s="2">
        <v>0</v>
      </c>
      <c r="G4156" s="24"/>
      <c r="H4156" s="24"/>
      <c r="I4156" s="2"/>
      <c r="J4156" s="2"/>
      <c r="O4156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  <c r="AB4156" s="2"/>
    </row>
    <row r="4157" spans="1:31">
      <c r="A4157" s="1"/>
      <c r="D4157" s="2">
        <v>4</v>
      </c>
      <c r="E4157" s="2" t="s">
        <v>15</v>
      </c>
      <c r="F4157" s="2">
        <v>2</v>
      </c>
      <c r="G4157" s="24"/>
      <c r="H4157" s="24"/>
      <c r="I4157" s="2"/>
      <c r="J4157" s="2"/>
      <c r="O4157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  <c r="AB4157" s="2"/>
    </row>
    <row r="4158" spans="1:31">
      <c r="A4158" s="1"/>
      <c r="B4158">
        <v>1000</v>
      </c>
      <c r="C4158">
        <v>500</v>
      </c>
      <c r="D4158" s="2">
        <v>4</v>
      </c>
      <c r="E4158" s="2" t="s">
        <v>15</v>
      </c>
      <c r="F4158" s="2">
        <v>3</v>
      </c>
      <c r="G4158" s="24">
        <v>-1</v>
      </c>
      <c r="H4158" s="24">
        <v>0</v>
      </c>
      <c r="I4158" s="24">
        <v>-0.8</v>
      </c>
      <c r="J4158" s="24">
        <v>-0.6</v>
      </c>
      <c r="K4158" s="24">
        <v>-0.6</v>
      </c>
      <c r="L4158" s="24">
        <v>-0.8</v>
      </c>
      <c r="M4158" s="24">
        <v>0</v>
      </c>
      <c r="N4158" s="24">
        <v>-1</v>
      </c>
      <c r="O4158" s="24">
        <v>0.6</v>
      </c>
      <c r="P4158" s="24">
        <v>-0.8</v>
      </c>
      <c r="Q4158" s="24">
        <v>0.8</v>
      </c>
      <c r="R4158" s="24">
        <v>-0.6</v>
      </c>
      <c r="S4158" s="24">
        <v>1</v>
      </c>
      <c r="T4158" s="24">
        <v>0</v>
      </c>
      <c r="U4158" s="24">
        <v>0.8</v>
      </c>
      <c r="V4158" s="24">
        <v>0.6</v>
      </c>
      <c r="W4158" s="24">
        <v>0.6</v>
      </c>
      <c r="X4158" s="24">
        <v>0.8</v>
      </c>
      <c r="Y4158" s="24">
        <v>0</v>
      </c>
      <c r="Z4158" s="24">
        <v>1</v>
      </c>
      <c r="AA4158" s="24">
        <v>-0.6</v>
      </c>
      <c r="AB4158" s="24">
        <v>0.8</v>
      </c>
      <c r="AC4158" s="24">
        <v>-0.8</v>
      </c>
      <c r="AD4158" s="24">
        <v>0.6</v>
      </c>
      <c r="AE4158" s="24"/>
    </row>
    <row r="4159" spans="1:31">
      <c r="A4159" s="2">
        <v>0</v>
      </c>
      <c r="B4159" s="2">
        <v>1200</v>
      </c>
      <c r="C4159" s="2">
        <v>1200</v>
      </c>
      <c r="D4159" s="2">
        <f>F4159*2+4</f>
        <v>28</v>
      </c>
      <c r="E4159" s="2" t="s">
        <v>4</v>
      </c>
      <c r="F4159" s="2">
        <v>12</v>
      </c>
      <c r="G4159" s="2">
        <f ca="1">(2*RAND()*A4159-A4159+1)*G4158*B4158+B4159</f>
        <v>200</v>
      </c>
      <c r="H4159" s="24">
        <f ca="1">(2*RAND()*A4159-A4159+1)*H4158*C4158+C4159</f>
        <v>1200</v>
      </c>
      <c r="I4159" s="2">
        <f ca="1">(2*RAND()*A4159-A4159+1)*I4158*B4158+B4159</f>
        <v>400</v>
      </c>
      <c r="J4159" s="24">
        <f ca="1">(2*RAND()*A4159-A4159+1)*J4158*C4158+C4159</f>
        <v>900</v>
      </c>
      <c r="K4159" s="2">
        <f ca="1">(2*RAND()*A4159-A4159+1)*K4158*B4158+B4159</f>
        <v>600</v>
      </c>
      <c r="L4159" s="24">
        <f ca="1">(2*RAND()*A4159-A4159+1)*L4158*C4158+C4159</f>
        <v>800</v>
      </c>
      <c r="M4159" s="2">
        <f ca="1">(2*RAND()*A4159-A4159+1)*M4158*B4158+B4159</f>
        <v>1200</v>
      </c>
      <c r="N4159" s="24">
        <f ca="1">(2*RAND()*A4159-A4159+1)*N4158*C4158+C4159</f>
        <v>700</v>
      </c>
      <c r="O4159" s="2">
        <f ca="1">(2*RAND()*A4159-A4159+1)*O4158*B4158+B4159</f>
        <v>1800</v>
      </c>
      <c r="P4159" s="24">
        <f ca="1">(2*RAND()*A4159-A4159+1)*P4158*C4158+C4159</f>
        <v>800</v>
      </c>
      <c r="Q4159" s="2">
        <f ca="1">(2*RAND()*A4159-A4159+1)*Q4158*B4158+B4159</f>
        <v>2000</v>
      </c>
      <c r="R4159" s="24">
        <f ca="1">(2*RAND()*A4159-A4159+1)*R4158*C4158+C4159</f>
        <v>900</v>
      </c>
      <c r="S4159" s="2">
        <f ca="1">(2*RAND()*A4159-A4159+1)*S4158*B4158+B4159</f>
        <v>2200</v>
      </c>
      <c r="T4159" s="24">
        <f ca="1">(2*RAND()*A4159-A4159+1)*T4158*C4158+C4159</f>
        <v>1200</v>
      </c>
      <c r="U4159" s="2">
        <f ca="1">(2*RAND()*A4159-A4159+1)*U4158*B4158+B4159</f>
        <v>2000</v>
      </c>
      <c r="V4159" s="24">
        <f ca="1">(2*RAND()*A4159-A4159+1)*V4158*C4158+C4159</f>
        <v>1500</v>
      </c>
      <c r="W4159" s="2">
        <f ca="1">(2*RAND()*A4159-A4159+1)*W4158*B4158+B4159</f>
        <v>1800</v>
      </c>
      <c r="X4159" s="24">
        <f ca="1">(2*RAND()*A4159-A4159+1)*X4158*C4158+C4159</f>
        <v>1600</v>
      </c>
      <c r="Y4159" s="2">
        <f ca="1">(2*RAND()*A4159-A4159+1)*Y4158*B4158+B4159</f>
        <v>1200</v>
      </c>
      <c r="Z4159" s="24">
        <f ca="1">(2*RAND()*A4159-A4159+1)*Z4158*C4158+C4159</f>
        <v>1700</v>
      </c>
      <c r="AA4159" s="2">
        <f ca="1">(2*RAND()*A4159-A4159+1)*AA4158*B4158+B4159</f>
        <v>600</v>
      </c>
      <c r="AB4159" s="24">
        <f ca="1">(2*RAND()*A4159-A4159+1)*AB4158*C4158+C4159</f>
        <v>1600</v>
      </c>
      <c r="AC4159" s="2">
        <f ca="1">(2*RAND()*A4159-A4159+1)*AC4158*B4158+B4159</f>
        <v>400</v>
      </c>
      <c r="AD4159" s="24">
        <f ca="1">(2*RAND()*A4159-A4159+1)*AD4158*C4158+C4159</f>
        <v>1500</v>
      </c>
      <c r="AE4159" s="2"/>
    </row>
    <row r="4160" spans="1:31">
      <c r="A4160" s="2">
        <v>0.05</v>
      </c>
      <c r="B4160" s="2">
        <f>B4159+2700</f>
        <v>3900</v>
      </c>
      <c r="C4160" s="2">
        <f>C4159</f>
        <v>1200</v>
      </c>
      <c r="D4160" s="2">
        <f t="shared" ref="D4160:D4165" si="215">F4160*2+4</f>
        <v>28</v>
      </c>
      <c r="E4160" s="2" t="s">
        <v>4</v>
      </c>
      <c r="F4160" s="2">
        <v>12</v>
      </c>
      <c r="G4160" s="2">
        <f ca="1">(2*RAND()*A4160-A4160+1)*G4158*B4158+B4160</f>
        <v>2898.0847894107292</v>
      </c>
      <c r="H4160" s="24">
        <f ca="1">(2*RAND()*A4160-A4160+1)*H4158*C4158+C4160</f>
        <v>1200</v>
      </c>
      <c r="I4160" s="2">
        <f ca="1">(2*RAND()*A4160-A4160+1)*I4158*B4158+B4160</f>
        <v>3136.9994176021328</v>
      </c>
      <c r="J4160" s="24">
        <f ca="1">(2*RAND()*A4160-A4160+1)*J4158*C4158+C4160</f>
        <v>894.08313082669622</v>
      </c>
      <c r="K4160" s="2">
        <f ca="1">(2*RAND()*A4160-A4160+1)*K4158*B4158+B4160</f>
        <v>3318.3375795850602</v>
      </c>
      <c r="L4160" s="24">
        <f ca="1">(2*RAND()*A4160-A4160+1)*L4158*C4158+C4160</f>
        <v>802.04568522984346</v>
      </c>
      <c r="M4160" s="2">
        <f ca="1">(2*RAND()*A4160-A4160+1)*M4158*B4158+B4160</f>
        <v>3900</v>
      </c>
      <c r="N4160" s="24">
        <f ca="1">(2*RAND()*A4160-A4160+1)*N4158*C4158+C4160</f>
        <v>691.01983070007896</v>
      </c>
      <c r="O4160" s="2">
        <f ca="1">(2*RAND()*A4160-A4160+1)*O4158*B4158+B4160</f>
        <v>4519.3011233395291</v>
      </c>
      <c r="P4160" s="24">
        <f ca="1">(2*RAND()*A4160-A4160+1)*P4158*C4158+C4160</f>
        <v>804.02736452023817</v>
      </c>
      <c r="Q4160" s="2">
        <f ca="1">(2*RAND()*A4160-A4160+1)*Q4158*B4158+B4160</f>
        <v>4700.5683459101701</v>
      </c>
      <c r="R4160" s="24">
        <f ca="1">(2*RAND()*A4160-A4160+1)*R4158*C4158+C4160</f>
        <v>892.10532817488297</v>
      </c>
      <c r="S4160" s="2">
        <f ca="1">(2*RAND()*A4160-A4160+1)*S4158*B4158+B4160</f>
        <v>4937.6615527782451</v>
      </c>
      <c r="T4160" s="24">
        <f ca="1">(2*RAND()*A4160-A4160+1)*T4158*C4158+C4160</f>
        <v>1200</v>
      </c>
      <c r="U4160" s="2">
        <f ca="1">(2*RAND()*A4160-A4160+1)*U4158*B4158+B4160</f>
        <v>4737.9099990368331</v>
      </c>
      <c r="V4160" s="24">
        <f ca="1">(2*RAND()*A4160-A4160+1)*V4158*C4158+C4160</f>
        <v>1505.9266958981884</v>
      </c>
      <c r="W4160" s="2">
        <f ca="1">(2*RAND()*A4160-A4160+1)*W4158*B4158+B4160</f>
        <v>4485.8342386539725</v>
      </c>
      <c r="X4160" s="24">
        <f ca="1">(2*RAND()*A4160-A4160+1)*X4158*C4158+C4160</f>
        <v>1608.7897968802863</v>
      </c>
      <c r="Y4160" s="2">
        <f ca="1">(2*RAND()*A4160-A4160+1)*Y4158*B4158+B4160</f>
        <v>3900</v>
      </c>
      <c r="Z4160" s="24">
        <f ca="1">(2*RAND()*A4160-A4160+1)*Z4158*C4158+C4160</f>
        <v>1719.5788222294475</v>
      </c>
      <c r="AA4160" s="2">
        <f ca="1">(2*RAND()*A4160-A4160+1)*AA4158*B4158+B4160</f>
        <v>3321.6016540951787</v>
      </c>
      <c r="AB4160" s="24">
        <f ca="1">(2*RAND()*A4160-A4160+1)*AB4158*C4158+C4160</f>
        <v>1605.2351906388933</v>
      </c>
      <c r="AC4160" s="2">
        <f ca="1">(2*RAND()*A4160-A4160+1)*AC4158*B4158+B4160</f>
        <v>3116.178629517628</v>
      </c>
      <c r="AD4160" s="24">
        <f ca="1">(2*RAND()*A4160-A4160+1)*AD4158*C4158+C4160</f>
        <v>1511.4911393037003</v>
      </c>
      <c r="AE4160" s="2"/>
    </row>
    <row r="4161" spans="1:31">
      <c r="A4161" s="2">
        <v>0.1</v>
      </c>
      <c r="B4161" s="2">
        <f>B4160+2700</f>
        <v>6600</v>
      </c>
      <c r="C4161" s="2">
        <f>C4160</f>
        <v>1200</v>
      </c>
      <c r="D4161" s="2">
        <f t="shared" si="215"/>
        <v>28</v>
      </c>
      <c r="E4161" s="2" t="s">
        <v>4</v>
      </c>
      <c r="F4161" s="2">
        <v>12</v>
      </c>
      <c r="G4161" s="2">
        <f ca="1">(2*RAND()*A4161-A4161+1)*G4158*B4158+B4161</f>
        <v>5524.7163110164056</v>
      </c>
      <c r="H4161" s="24">
        <f ca="1">(2*RAND()*A4161-A4161+1)*H4158*C4158+C4161</f>
        <v>1200</v>
      </c>
      <c r="I4161" s="2">
        <f ca="1">(2*RAND()*A4161-A4161+1)*I4158*B4158+B4161</f>
        <v>5807.3369749698959</v>
      </c>
      <c r="J4161" s="24">
        <f ca="1">(2*RAND()*A4161-A4161+1)*J4158*C4158+C4161</f>
        <v>929.21124101446208</v>
      </c>
      <c r="K4161" s="2">
        <f ca="1">(2*RAND()*A4161-A4161+1)*K4158*B4158+B4161</f>
        <v>6042.7568433062888</v>
      </c>
      <c r="L4161" s="24">
        <f ca="1">(2*RAND()*A4161-A4161+1)*L4158*C4158+C4161</f>
        <v>790.45891986410811</v>
      </c>
      <c r="M4161" s="2">
        <f ca="1">(2*RAND()*A4161-A4161+1)*M4158*B4158+B4161</f>
        <v>6600</v>
      </c>
      <c r="N4161" s="24">
        <f ca="1">(2*RAND()*A4161-A4161+1)*N4158*C4158+C4161</f>
        <v>651.65732966350618</v>
      </c>
      <c r="O4161" s="2">
        <f ca="1">(2*RAND()*A4161-A4161+1)*O4158*B4158+B4161</f>
        <v>7210.0333345107483</v>
      </c>
      <c r="P4161" s="24">
        <f ca="1">(2*RAND()*A4161-A4161+1)*P4158*C4158+C4161</f>
        <v>807.67386863226182</v>
      </c>
      <c r="Q4161" s="2">
        <f ca="1">(2*RAND()*A4161-A4161+1)*Q4158*B4158+B4161</f>
        <v>7449.4094542751427</v>
      </c>
      <c r="R4161" s="24">
        <f ca="1">(2*RAND()*A4161-A4161+1)*R4158*C4158+C4161</f>
        <v>902.56538044138915</v>
      </c>
      <c r="S4161" s="2">
        <f ca="1">(2*RAND()*A4161-A4161+1)*S4158*B4158+B4161</f>
        <v>7612.0276688086078</v>
      </c>
      <c r="T4161" s="24">
        <f ca="1">(2*RAND()*A4161-A4161+1)*T4158*C4158+C4161</f>
        <v>1200</v>
      </c>
      <c r="U4161" s="2">
        <f ca="1">(2*RAND()*A4161-A4161+1)*U4158*B4158+B4161</f>
        <v>7477.0613230793006</v>
      </c>
      <c r="V4161" s="24">
        <f ca="1">(2*RAND()*A4161-A4161+1)*V4158*C4158+C4161</f>
        <v>1520.9706968268738</v>
      </c>
      <c r="W4161" s="2">
        <f ca="1">(2*RAND()*A4161-A4161+1)*W4158*B4158+B4161</f>
        <v>7222.1224856962835</v>
      </c>
      <c r="X4161" s="24">
        <f ca="1">(2*RAND()*A4161-A4161+1)*X4158*C4158+C4161</f>
        <v>1570.5679730571662</v>
      </c>
      <c r="Y4161" s="2">
        <f ca="1">(2*RAND()*A4161-A4161+1)*Y4158*B4158+B4161</f>
        <v>6600</v>
      </c>
      <c r="Z4161" s="24">
        <f ca="1">(2*RAND()*A4161-A4161+1)*Z4158*C4158+C4161</f>
        <v>1686.7063037752255</v>
      </c>
      <c r="AA4161" s="2">
        <f ca="1">(2*RAND()*A4161-A4161+1)*AA4158*B4158+B4161</f>
        <v>6044.157715518797</v>
      </c>
      <c r="AB4161" s="24">
        <f ca="1">(2*RAND()*A4161-A4161+1)*AB4158*C4158+C4161</f>
        <v>1623.3624426122733</v>
      </c>
      <c r="AC4161" s="2">
        <f ca="1">(2*RAND()*A4161-A4161+1)*AC4158*B4158+B4161</f>
        <v>5842.8061340046415</v>
      </c>
      <c r="AD4161" s="24">
        <f ca="1">(2*RAND()*A4161-A4161+1)*AD4158*C4158+C4161</f>
        <v>1470.3271383077558</v>
      </c>
      <c r="AE4161" s="2"/>
    </row>
    <row r="4162" spans="1:31">
      <c r="A4162" s="2">
        <v>0.15</v>
      </c>
      <c r="B4162" s="2">
        <f>B4161+2700</f>
        <v>9300</v>
      </c>
      <c r="C4162" s="2">
        <f>C4161</f>
        <v>1200</v>
      </c>
      <c r="D4162" s="2">
        <f t="shared" si="215"/>
        <v>28</v>
      </c>
      <c r="E4162" s="2" t="s">
        <v>4</v>
      </c>
      <c r="F4162" s="2">
        <v>12</v>
      </c>
      <c r="G4162" s="2">
        <f ca="1">(2*RAND()*A4162-A4162+1)*G4158*B4158+B4162</f>
        <v>8151.3420088861803</v>
      </c>
      <c r="H4162" s="24">
        <f ca="1">(2*RAND()*A4162-A4162+1)*H4158*C4158+C4162</f>
        <v>1200</v>
      </c>
      <c r="I4162" s="2">
        <f ca="1">(2*RAND()*A4162-A4162+1)*I4158*B4158+B4162</f>
        <v>8477.8959126650207</v>
      </c>
      <c r="J4162" s="24">
        <f ca="1">(2*RAND()*A4162-A4162+1)*J4158*C4158+C4162</f>
        <v>908.30949857054657</v>
      </c>
      <c r="K4162" s="2">
        <f ca="1">(2*RAND()*A4162-A4162+1)*K4158*B4158+B4162</f>
        <v>8778.8311934332996</v>
      </c>
      <c r="L4162" s="24">
        <f ca="1">(2*RAND()*A4162-A4162+1)*L4158*C4158+C4162</f>
        <v>749.45842724669296</v>
      </c>
      <c r="M4162" s="2">
        <f ca="1">(2*RAND()*A4162-A4162+1)*M4158*B4158+B4162</f>
        <v>9300</v>
      </c>
      <c r="N4162" s="24">
        <f ca="1">(2*RAND()*A4162-A4162+1)*N4158*C4158+C4162</f>
        <v>761.51410966980529</v>
      </c>
      <c r="O4162" s="2">
        <f ca="1">(2*RAND()*A4162-A4162+1)*O4158*B4158+B4162</f>
        <v>9812.6115922336467</v>
      </c>
      <c r="P4162" s="24">
        <f ca="1">(2*RAND()*A4162-A4162+1)*P4158*C4158+C4162</f>
        <v>844.85179648343546</v>
      </c>
      <c r="Q4162" s="2">
        <f ca="1">(2*RAND()*A4162-A4162+1)*Q4158*B4158+B4162</f>
        <v>10068.138472155064</v>
      </c>
      <c r="R4162" s="24">
        <f ca="1">(2*RAND()*A4162-A4162+1)*R4158*C4158+C4162</f>
        <v>862.53647206607116</v>
      </c>
      <c r="S4162" s="2">
        <f ca="1">(2*RAND()*A4162-A4162+1)*S4158*B4158+B4162</f>
        <v>10209.105996021559</v>
      </c>
      <c r="T4162" s="24">
        <f ca="1">(2*RAND()*A4162-A4162+1)*T4158*C4158+C4162</f>
        <v>1200</v>
      </c>
      <c r="U4162" s="2">
        <f ca="1">(2*RAND()*A4162-A4162+1)*U4158*B4158+B4162</f>
        <v>10103.000891588015</v>
      </c>
      <c r="V4162" s="24">
        <f ca="1">(2*RAND()*A4162-A4162+1)*V4158*C4158+C4162</f>
        <v>1525.4007941609427</v>
      </c>
      <c r="W4162" s="2">
        <f ca="1">(2*RAND()*A4162-A4162+1)*W4158*B4158+B4162</f>
        <v>9948.9634183548333</v>
      </c>
      <c r="X4162" s="24">
        <f ca="1">(2*RAND()*A4162-A4162+1)*X4158*C4158+C4162</f>
        <v>1598.4860607365081</v>
      </c>
      <c r="Y4162" s="2">
        <f ca="1">(2*RAND()*A4162-A4162+1)*Y4158*B4158+B4162</f>
        <v>9300</v>
      </c>
      <c r="Z4162" s="24">
        <f ca="1">(2*RAND()*A4162-A4162+1)*Z4158*C4158+C4162</f>
        <v>1698.4899887856395</v>
      </c>
      <c r="AA4162" s="2">
        <f ca="1">(2*RAND()*A4162-A4162+1)*AA4158*B4158+B4162</f>
        <v>8684.820581855236</v>
      </c>
      <c r="AB4162" s="24">
        <f ca="1">(2*RAND()*A4162-A4162+1)*AB4158*C4158+C4162</f>
        <v>1632.6006300548388</v>
      </c>
      <c r="AC4162" s="2">
        <f ca="1">(2*RAND()*A4162-A4162+1)*AC4158*B4158+B4162</f>
        <v>8536.7556625725756</v>
      </c>
      <c r="AD4162" s="24">
        <f ca="1">(2*RAND()*A4162-A4162+1)*AD4158*C4158+C4162</f>
        <v>1524.7682144470359</v>
      </c>
      <c r="AE4162" s="2"/>
    </row>
    <row r="4163" spans="1:31">
      <c r="A4163" s="2">
        <v>0.2</v>
      </c>
      <c r="B4163" s="2">
        <f>B4159</f>
        <v>1200</v>
      </c>
      <c r="C4163" s="2">
        <f>C4159+1800</f>
        <v>3000</v>
      </c>
      <c r="D4163" s="2">
        <f t="shared" si="215"/>
        <v>28</v>
      </c>
      <c r="E4163" s="2" t="s">
        <v>4</v>
      </c>
      <c r="F4163" s="2">
        <v>12</v>
      </c>
      <c r="G4163" s="2">
        <f ca="1">(2*RAND()*A4163-A4163+1)*G4158*B4158+B4163</f>
        <v>75.07284904564608</v>
      </c>
      <c r="H4163" s="24">
        <f ca="1">(2*RAND()*A4163-A4163+1)*H4158*C4158+C4163</f>
        <v>3000</v>
      </c>
      <c r="I4163" s="2">
        <f ca="1">(2*RAND()*A4163-A4163+1)*I4158*B4158+B4163</f>
        <v>424.69887966816555</v>
      </c>
      <c r="J4163" s="24">
        <f ca="1">(2*RAND()*A4163-A4163+1)*J4158*C4158+C4163</f>
        <v>2646.1152935922405</v>
      </c>
      <c r="K4163" s="2">
        <f ca="1">(2*RAND()*A4163-A4163+1)*K4158*B4158+B4163</f>
        <v>691.72872186278596</v>
      </c>
      <c r="L4163" s="24">
        <f ca="1">(2*RAND()*A4163-A4163+1)*L4158*C4158+C4163</f>
        <v>2536.2377609663258</v>
      </c>
      <c r="M4163" s="2">
        <f ca="1">(2*RAND()*A4163-A4163+1)*M4158*B4158+B4163</f>
        <v>1200</v>
      </c>
      <c r="N4163" s="24">
        <f ca="1">(2*RAND()*A4163-A4163+1)*N4158*C4158+C4163</f>
        <v>2495.047200314847</v>
      </c>
      <c r="O4163" s="2">
        <f ca="1">(2*RAND()*A4163-A4163+1)*O4158*B4158+B4163</f>
        <v>1878.2173775005392</v>
      </c>
      <c r="P4163" s="24">
        <f ca="1">(2*RAND()*A4163-A4163+1)*P4158*C4158+C4163</f>
        <v>2530.6767059535423</v>
      </c>
      <c r="Q4163" s="2">
        <f ca="1">(2*RAND()*A4163-A4163+1)*Q4158*B4158+B4163</f>
        <v>1869.5012940146414</v>
      </c>
      <c r="R4163" s="24">
        <f ca="1">(2*RAND()*A4163-A4163+1)*R4158*C4158+C4163</f>
        <v>2736.3416417717344</v>
      </c>
      <c r="S4163" s="2">
        <f ca="1">(2*RAND()*A4163-A4163+1)*S4158*B4158+B4163</f>
        <v>2119.3363600412686</v>
      </c>
      <c r="T4163" s="24">
        <f ca="1">(2*RAND()*A4163-A4163+1)*T4158*C4158+C4163</f>
        <v>3000</v>
      </c>
      <c r="U4163" s="2">
        <f ca="1">(2*RAND()*A4163-A4163+1)*U4158*B4158+B4163</f>
        <v>2055.9403761008248</v>
      </c>
      <c r="V4163" s="24">
        <f ca="1">(2*RAND()*A4163-A4163+1)*V4158*C4158+C4163</f>
        <v>3357.9174367245919</v>
      </c>
      <c r="W4163" s="2">
        <f ca="1">(2*RAND()*A4163-A4163+1)*W4158*B4158+B4163</f>
        <v>1799.4477606939688</v>
      </c>
      <c r="X4163" s="24">
        <f ca="1">(2*RAND()*A4163-A4163+1)*X4158*C4158+C4163</f>
        <v>3342.3936897795556</v>
      </c>
      <c r="Y4163" s="2">
        <f ca="1">(2*RAND()*A4163-A4163+1)*Y4158*B4158+B4163</f>
        <v>1200</v>
      </c>
      <c r="Z4163" s="24">
        <f ca="1">(2*RAND()*A4163-A4163+1)*Z4158*C4158+C4163</f>
        <v>3521.1567989294654</v>
      </c>
      <c r="AA4163" s="2">
        <f ca="1">(2*RAND()*A4163-A4163+1)*AA4158*B4158+B4163</f>
        <v>520.49620814910622</v>
      </c>
      <c r="AB4163" s="24">
        <f ca="1">(2*RAND()*A4163-A4163+1)*AB4158*C4158+C4163</f>
        <v>3407.1935752248064</v>
      </c>
      <c r="AC4163" s="2">
        <f ca="1">(2*RAND()*A4163-A4163+1)*AC4158*B4158+B4163</f>
        <v>500.02175849528635</v>
      </c>
      <c r="AD4163" s="24">
        <f ca="1">(2*RAND()*A4163-A4163+1)*AD4158*C4158+C4163</f>
        <v>3259.9669579156061</v>
      </c>
      <c r="AE4163" s="2"/>
    </row>
    <row r="4164" spans="1:31">
      <c r="A4164" s="2">
        <v>0.3</v>
      </c>
      <c r="B4164" s="2">
        <f>B4160</f>
        <v>3900</v>
      </c>
      <c r="C4164" s="2">
        <f>C4163</f>
        <v>3000</v>
      </c>
      <c r="D4164" s="2">
        <f t="shared" si="215"/>
        <v>28</v>
      </c>
      <c r="E4164" s="2" t="s">
        <v>4</v>
      </c>
      <c r="F4164" s="2">
        <v>12</v>
      </c>
      <c r="G4164" s="2">
        <f ca="1">(2*RAND()*A4164-A4164+1)*G4158*B4158+B4164</f>
        <v>2908.7433065981145</v>
      </c>
      <c r="H4164" s="24">
        <f ca="1">(2*RAND()*A4164-A4164+1)*H4158*C4158+C4164</f>
        <v>3000</v>
      </c>
      <c r="I4164" s="2">
        <f ca="1">(2*RAND()*A4164-A4164+1)*I4158*B4158+B4164</f>
        <v>3268.1996360836206</v>
      </c>
      <c r="J4164" s="24">
        <f ca="1">(2*RAND()*A4164-A4164+1)*J4158*C4158+C4164</f>
        <v>2738.5327506273889</v>
      </c>
      <c r="K4164" s="2">
        <f ca="1">(2*RAND()*A4164-A4164+1)*K4158*B4158+B4164</f>
        <v>3153.6573845787043</v>
      </c>
      <c r="L4164" s="24">
        <f ca="1">(2*RAND()*A4164-A4164+1)*L4158*C4158+C4164</f>
        <v>2582.5844044654095</v>
      </c>
      <c r="M4164" s="2">
        <f ca="1">(2*RAND()*A4164-A4164+1)*M4158*B4158+B4164</f>
        <v>3900</v>
      </c>
      <c r="N4164" s="24">
        <f ca="1">(2*RAND()*A4164-A4164+1)*N4158*C4158+C4164</f>
        <v>2357.4141168353312</v>
      </c>
      <c r="O4164" s="2">
        <f ca="1">(2*RAND()*A4164-A4164+1)*O4158*B4158+B4164</f>
        <v>4676.1948475405306</v>
      </c>
      <c r="P4164" s="24">
        <f ca="1">(2*RAND()*A4164-A4164+1)*P4158*C4158+C4164</f>
        <v>2588.7727009113482</v>
      </c>
      <c r="Q4164" s="2">
        <f ca="1">(2*RAND()*A4164-A4164+1)*Q4158*B4158+B4164</f>
        <v>4906.6217833270421</v>
      </c>
      <c r="R4164" s="24">
        <f ca="1">(2*RAND()*A4164-A4164+1)*R4158*C4158+C4164</f>
        <v>2612.0995647127061</v>
      </c>
      <c r="S4164" s="2">
        <f ca="1">(2*RAND()*A4164-A4164+1)*S4158*B4158+B4164</f>
        <v>5079.350595425607</v>
      </c>
      <c r="T4164" s="24">
        <f ca="1">(2*RAND()*A4164-A4164+1)*T4158*C4158+C4164</f>
        <v>3000</v>
      </c>
      <c r="U4164" s="2">
        <f ca="1">(2*RAND()*A4164-A4164+1)*U4158*B4158+B4164</f>
        <v>4784.3695919987294</v>
      </c>
      <c r="V4164" s="24">
        <f ca="1">(2*RAND()*A4164-A4164+1)*V4158*C4158+C4164</f>
        <v>3288.7404728977999</v>
      </c>
      <c r="W4164" s="2">
        <f ca="1">(2*RAND()*A4164-A4164+1)*W4158*B4158+B4164</f>
        <v>4359.2096634632262</v>
      </c>
      <c r="X4164" s="24">
        <f ca="1">(2*RAND()*A4164-A4164+1)*X4158*C4158+C4164</f>
        <v>3301.8152283275826</v>
      </c>
      <c r="Y4164" s="2">
        <f ca="1">(2*RAND()*A4164-A4164+1)*Y4158*B4158+B4164</f>
        <v>3900</v>
      </c>
      <c r="Z4164" s="24">
        <f ca="1">(2*RAND()*A4164-A4164+1)*Z4158*C4158+C4164</f>
        <v>3631.0206395059922</v>
      </c>
      <c r="AA4164" s="2">
        <f ca="1">(2*RAND()*A4164-A4164+1)*AA4158*B4158+B4164</f>
        <v>3138.2330633879701</v>
      </c>
      <c r="AB4164" s="24">
        <f ca="1">(2*RAND()*A4164-A4164+1)*AB4158*C4158+C4164</f>
        <v>3427.9649871692382</v>
      </c>
      <c r="AC4164" s="2">
        <f ca="1">(2*RAND()*A4164-A4164+1)*AC4158*B4158+B4164</f>
        <v>3033.8274742260346</v>
      </c>
      <c r="AD4164" s="24">
        <f ca="1">(2*RAND()*A4164-A4164+1)*AD4158*C4158+C4164</f>
        <v>3309.5653970802132</v>
      </c>
      <c r="AE4164" s="2"/>
    </row>
    <row r="4165" spans="1:31">
      <c r="A4165" s="2">
        <v>0.5</v>
      </c>
      <c r="B4165" s="2">
        <f>B4161</f>
        <v>6600</v>
      </c>
      <c r="C4165" s="2">
        <f>C4164</f>
        <v>3000</v>
      </c>
      <c r="D4165" s="2">
        <f t="shared" si="215"/>
        <v>28</v>
      </c>
      <c r="E4165" s="2" t="s">
        <v>4</v>
      </c>
      <c r="F4165" s="2">
        <v>12</v>
      </c>
      <c r="G4165" s="2">
        <f ca="1">(2*RAND()*A4165-A4165+1)*G4158*B4158+B4165</f>
        <v>5616.7130521295549</v>
      </c>
      <c r="H4165" s="24">
        <f ca="1">(2*RAND()*A4165-A4165+1)*H4158*C4158+C4165</f>
        <v>3000</v>
      </c>
      <c r="I4165" s="2">
        <f ca="1">(2*RAND()*A4165-A4165+1)*I4158*B4158+B4165</f>
        <v>6187.3229880245626</v>
      </c>
      <c r="J4165" s="24">
        <f ca="1">(2*RAND()*A4165-A4165+1)*J4158*C4158+C4165</f>
        <v>2631.0109904537408</v>
      </c>
      <c r="K4165" s="2">
        <f ca="1">(2*RAND()*A4165-A4165+1)*K4158*B4158+B4165</f>
        <v>5719.813496044786</v>
      </c>
      <c r="L4165" s="24">
        <f ca="1">(2*RAND()*A4165-A4165+1)*L4158*C4158+C4165</f>
        <v>2425.4359063655979</v>
      </c>
      <c r="M4165" s="2">
        <f ca="1">(2*RAND()*A4165-A4165+1)*M4158*B4158+B4165</f>
        <v>6600</v>
      </c>
      <c r="N4165" s="24">
        <f ca="1">(2*RAND()*A4165-A4165+1)*N4158*C4158+C4165</f>
        <v>2271.0603606798422</v>
      </c>
      <c r="O4165" s="2">
        <f ca="1">(2*RAND()*A4165-A4165+1)*O4158*B4158+B4165</f>
        <v>7012.3798883249437</v>
      </c>
      <c r="P4165" s="24">
        <f ca="1">(2*RAND()*A4165-A4165+1)*P4158*C4158+C4165</f>
        <v>2702.8945876553898</v>
      </c>
      <c r="Q4165" s="2">
        <f ca="1">(2*RAND()*A4165-A4165+1)*Q4158*B4158+B4165</f>
        <v>7538.9555983226655</v>
      </c>
      <c r="R4165" s="24">
        <f ca="1">(2*RAND()*A4165-A4165+1)*R4158*C4158+C4165</f>
        <v>2583.0785051211828</v>
      </c>
      <c r="S4165" s="2">
        <f ca="1">(2*RAND()*A4165-A4165+1)*S4158*B4158+B4165</f>
        <v>7801.7356363854014</v>
      </c>
      <c r="T4165" s="24">
        <f ca="1">(2*RAND()*A4165-A4165+1)*T4158*C4158+C4165</f>
        <v>3000</v>
      </c>
      <c r="U4165" s="2">
        <f ca="1">(2*RAND()*A4165-A4165+1)*U4158*B4158+B4165</f>
        <v>7425.0825846669204</v>
      </c>
      <c r="V4165" s="24">
        <f ca="1">(2*RAND()*A4165-A4165+1)*V4158*C4158+C4165</f>
        <v>3370.7623584108278</v>
      </c>
      <c r="W4165" s="2">
        <f ca="1">(2*RAND()*A4165-A4165+1)*W4158*B4158+B4165</f>
        <v>7414.5558879618493</v>
      </c>
      <c r="X4165" s="24">
        <f ca="1">(2*RAND()*A4165-A4165+1)*X4158*C4158+C4165</f>
        <v>3434.6835656157318</v>
      </c>
      <c r="Y4165" s="2">
        <f ca="1">(2*RAND()*A4165-A4165+1)*Y4158*B4158+B4165</f>
        <v>6600</v>
      </c>
      <c r="Z4165" s="24">
        <f ca="1">(2*RAND()*A4165-A4165+1)*Z4158*C4158+C4165</f>
        <v>3323.4145549859763</v>
      </c>
      <c r="AA4165" s="2">
        <f ca="1">(2*RAND()*A4165-A4165+1)*AA4158*B4158+B4165</f>
        <v>5940.5751966322268</v>
      </c>
      <c r="AB4165" s="24">
        <f ca="1">(2*RAND()*A4165-A4165+1)*AB4158*C4158+C4165</f>
        <v>3490.8282624651215</v>
      </c>
      <c r="AC4165" s="2">
        <f ca="1">(2*RAND()*A4165-A4165+1)*AC4158*B4158+B4165</f>
        <v>5420.3267640097747</v>
      </c>
      <c r="AD4165" s="24">
        <f ca="1">(2*RAND()*A4165-A4165+1)*AD4158*C4158+C4165</f>
        <v>3212.6662434713821</v>
      </c>
      <c r="AE4165" s="2"/>
    </row>
    <row r="4166" spans="1:31">
      <c r="A4166" s="2">
        <v>1</v>
      </c>
      <c r="B4166" s="2">
        <f>B4162</f>
        <v>9300</v>
      </c>
      <c r="C4166" s="2">
        <f>C4165</f>
        <v>3000</v>
      </c>
      <c r="D4166" s="2">
        <f>F4166*2+4</f>
        <v>28</v>
      </c>
      <c r="E4166" s="2" t="s">
        <v>4</v>
      </c>
      <c r="F4166" s="2">
        <v>12</v>
      </c>
      <c r="G4166" s="2">
        <f ca="1">(2*RAND()*A4166-A4166+1)*G4158*B4158+B4166</f>
        <v>8069.8030662768906</v>
      </c>
      <c r="H4166" s="24">
        <f ca="1">(2*RAND()*A4166-A4166+1)*H4158*C4158+C4166</f>
        <v>3000</v>
      </c>
      <c r="I4166" s="2">
        <f ca="1">(2*RAND()*A4166-A4166+1)*I4158*B4158+B4166</f>
        <v>8729.8764384528095</v>
      </c>
      <c r="J4166" s="24">
        <f ca="1">(2*RAND()*A4166-A4166+1)*J4158*C4158+C4166</f>
        <v>2710.799067065057</v>
      </c>
      <c r="K4166" s="2">
        <f ca="1">(2*RAND()*A4166-A4166+1)*K4158*B4158+B4166</f>
        <v>9066.6757291477716</v>
      </c>
      <c r="L4166" s="24">
        <f ca="1">(2*RAND()*A4166-A4166+1)*L4158*C4158+C4166</f>
        <v>2386.6811482238927</v>
      </c>
      <c r="M4166" s="2">
        <f ca="1">(2*RAND()*A4166-A4166+1)*M4158*B4158+B4166</f>
        <v>9300</v>
      </c>
      <c r="N4166" s="24">
        <f ca="1">(2*RAND()*A4166-A4166+1)*N4158*C4158+C4166</f>
        <v>2863.7075795094111</v>
      </c>
      <c r="O4166" s="2">
        <f ca="1">(2*RAND()*A4166-A4166+1)*O4158*B4158+B4166</f>
        <v>9660.4179720214652</v>
      </c>
      <c r="P4166" s="24">
        <f ca="1">(2*RAND()*A4166-A4166+1)*P4158*C4158+C4166</f>
        <v>2574.4111712934368</v>
      </c>
      <c r="Q4166" s="2">
        <f ca="1">(2*RAND()*A4166-A4166+1)*Q4158*B4158+B4166</f>
        <v>10810.025493292356</v>
      </c>
      <c r="R4166" s="24">
        <f ca="1">(2*RAND()*A4166-A4166+1)*R4158*C4158+C4166</f>
        <v>2436.5088975879021</v>
      </c>
      <c r="S4166" s="2">
        <f ca="1">(2*RAND()*A4166-A4166+1)*S4158*B4158+B4166</f>
        <v>9809.3894311644799</v>
      </c>
      <c r="T4166" s="24">
        <f ca="1">(2*RAND()*A4166-A4166+1)*T4158*C4158+C4166</f>
        <v>3000</v>
      </c>
      <c r="U4166" s="2">
        <f ca="1">(2*RAND()*A4166-A4166+1)*U4158*B4158+B4166</f>
        <v>10676.231301492682</v>
      </c>
      <c r="V4166" s="24">
        <f ca="1">(2*RAND()*A4166-A4166+1)*V4158*C4158+C4166</f>
        <v>3541.4014875560561</v>
      </c>
      <c r="W4166" s="2">
        <f ca="1">(2*RAND()*A4166-A4166+1)*W4158*B4158+B4166</f>
        <v>10458.283635515403</v>
      </c>
      <c r="X4166" s="24">
        <f ca="1">(2*RAND()*A4166-A4166+1)*X4158*C4158+C4166</f>
        <v>3039.1484414551942</v>
      </c>
      <c r="Y4166" s="2">
        <f ca="1">(2*RAND()*A4166-A4166+1)*Y4158*B4158+B4166</f>
        <v>9300</v>
      </c>
      <c r="Z4166" s="24">
        <f ca="1">(2*RAND()*A4166-A4166+1)*Z4158*C4158+C4166</f>
        <v>3597.0567444102899</v>
      </c>
      <c r="AA4166" s="2">
        <f ca="1">(2*RAND()*A4166-A4166+1)*AA4158*B4158+B4166</f>
        <v>9106.6643220962633</v>
      </c>
      <c r="AB4166" s="24">
        <f ca="1">(2*RAND()*A4166-A4166+1)*AB4158*C4158+C4166</f>
        <v>3406.2518736844927</v>
      </c>
      <c r="AC4166" s="2">
        <f ca="1">(2*RAND()*A4166-A4166+1)*AC4158*B4158+B4166</f>
        <v>8961.426888218999</v>
      </c>
      <c r="AD4166" s="24">
        <f ca="1">(2*RAND()*A4166-A4166+1)*AD4158*C4158+C4166</f>
        <v>3452.5095848160554</v>
      </c>
      <c r="AE4166" s="2"/>
    </row>
    <row r="4167" spans="1:31">
      <c r="A4167" s="2"/>
      <c r="B4167" s="2"/>
      <c r="C4167" s="2"/>
      <c r="D4167" s="2">
        <f t="shared" ref="D4167:D4182" si="216">ROUNDUP(6+F4167/2,0)</f>
        <v>12</v>
      </c>
      <c r="E4167" s="2" t="s">
        <v>6</v>
      </c>
      <c r="F4167" s="2">
        <f>LEN(G4167)</f>
        <v>11</v>
      </c>
      <c r="G4167" s="2" t="str">
        <f>"elliptisch="&amp;AJ4167</f>
        <v>elliptisch=</v>
      </c>
      <c r="H4167" s="24">
        <v>50</v>
      </c>
      <c r="I4167" s="24">
        <v>500</v>
      </c>
      <c r="J4167" s="2"/>
      <c r="K4167" s="2">
        <f ca="1">ABS(SQRT(((G4159-B4159)/B4158)^2+((H4159-C4159)/C4158)^2)-1)</f>
        <v>0</v>
      </c>
      <c r="L4167" s="2"/>
      <c r="M4167" s="2">
        <f ca="1">ABS(SQRT(((I4159-B4159)/B4158)^2+((J4159-C4159)/C4158)^2)-1)</f>
        <v>0</v>
      </c>
      <c r="N4167" s="2"/>
      <c r="O4167" s="2">
        <f ca="1">ABS(SQRT(((K4159-B4159)/B4158)^2+((L4159-C4159)/C4158)^2)-1)</f>
        <v>0</v>
      </c>
      <c r="P4167" s="2"/>
      <c r="Q4167" s="2">
        <f ca="1">ABS(SQRT(((M4159-B4159)/B4158)^2+((N4159-C4159)/C4158)^2)-1)</f>
        <v>0</v>
      </c>
      <c r="R4167" s="2"/>
      <c r="S4167" s="2">
        <f ca="1">ABS(SQRT(((O4159-B4159)/B4158)^2+((P4159-C4159)/C4158)^2)-1)</f>
        <v>0</v>
      </c>
      <c r="T4167" s="2"/>
      <c r="U4167" s="2">
        <f ca="1">ABS(SQRT(((Q4159-B4159)/B4158)^2+((R4159-C4159)/C4158)^2)-1)</f>
        <v>0</v>
      </c>
      <c r="V4167" s="2"/>
      <c r="W4167" s="2">
        <f ca="1">ABS(SQRT(((S4159-B4159)/B4158)^2+((T4159-C4159)/C4158)^2)-1)</f>
        <v>0</v>
      </c>
      <c r="X4167" s="2"/>
      <c r="Y4167" s="2">
        <f ca="1">ABS(SQRT(((U4159-B4159)/B4158)^2+((V4159-C4159)/C4158)^2)-1)</f>
        <v>0</v>
      </c>
      <c r="Z4167" s="2"/>
      <c r="AA4167" s="2">
        <f ca="1">ABS(SQRT(((W4159-B4159)/B4158)^2+((X4159-C4159)/C4158)^2)-1)</f>
        <v>0</v>
      </c>
      <c r="AB4167" s="2"/>
      <c r="AC4167" s="2">
        <f ca="1">ABS(SQRT(((Y4159-B4159)/B4158)^2+((Z4159-C4159)/C4158)^2)-1)</f>
        <v>0</v>
      </c>
      <c r="AD4167" s="2"/>
      <c r="AE4167" s="2">
        <f ca="1">ABS(SQRT(((AA4159-B4159)/B4158)^2+((AB4159-C4159)/C4158)^2)-1)</f>
        <v>0</v>
      </c>
    </row>
    <row r="4168" spans="1:31">
      <c r="A4168" s="2"/>
      <c r="B4168" s="2"/>
      <c r="C4168" s="2"/>
      <c r="D4168" s="2">
        <f t="shared" si="216"/>
        <v>12</v>
      </c>
      <c r="E4168" s="2" t="s">
        <v>6</v>
      </c>
      <c r="F4168" s="2">
        <f>LEN(G4168)</f>
        <v>11</v>
      </c>
      <c r="G4168" s="2" t="str">
        <f t="shared" ref="G4168:G4174" si="217">"elliptisch="&amp;AJ4168</f>
        <v>elliptisch=</v>
      </c>
      <c r="H4168" s="24">
        <f>H4167+C4160-C4159</f>
        <v>50</v>
      </c>
      <c r="I4168" s="24">
        <f>I4167+B4160-B4159</f>
        <v>3200</v>
      </c>
      <c r="J4168" s="2"/>
      <c r="K4168" s="2">
        <f ca="1">ABS(SQRT(((G4160-B4160)/B4158)^2+((H4160-C4160)/C4158)^2)-1)</f>
        <v>1.9152105892707993E-3</v>
      </c>
      <c r="L4168" s="2"/>
      <c r="M4168" s="2">
        <f ca="1">ABS(SQRT(((I4160-B4160)/B4158)^2+((J4160-C4160)/C4158)^2)-1)</f>
        <v>2.1986496965062496E-2</v>
      </c>
      <c r="N4168" s="2"/>
      <c r="O4168" s="2">
        <f ca="1">ABS(SQRT(((K4160-B4160)/B4158)^2+((L4160-C4160)/C4158)^2)-1)</f>
        <v>1.4199960489093222E-2</v>
      </c>
      <c r="P4168" s="2"/>
      <c r="Q4168" s="2">
        <f ca="1">ABS(SQRT(((M4160-B4160)/B4158)^2+((N4160-C4160)/C4158)^2)-1)</f>
        <v>1.7960338599842141E-2</v>
      </c>
      <c r="R4168" s="2"/>
      <c r="S4168" s="2">
        <f ca="1">ABS(SQRT(((O4160-B4160)/B4158)^2+((P4160-C4160)/C4158)^2)-1)</f>
        <v>5.3413318693089629E-3</v>
      </c>
      <c r="T4168" s="2"/>
      <c r="U4168" s="2">
        <f ca="1">ABS(SQRT(((Q4160-B4160)/B4158)^2+((R4160-C4160)/C4158)^2)-1)</f>
        <v>1.0003065454027293E-2</v>
      </c>
      <c r="V4168" s="2"/>
      <c r="W4168" s="2">
        <f ca="1">ABS(SQRT(((S4160-B4160)/B4158)^2+((T4160-C4160)/C4158)^2)-1)</f>
        <v>3.7661552778245122E-2</v>
      </c>
      <c r="X4168" s="2"/>
      <c r="Y4168" s="2">
        <f ca="1">ABS(SQRT(((U4160-B4160)/B4158)^2+((V4160-C4160)/C4158)^2)-1)</f>
        <v>3.7524813938749402E-2</v>
      </c>
      <c r="Z4168" s="2"/>
      <c r="AA4168" s="2">
        <f ca="1">ABS(SQRT(((W4160-B4160)/B4158)^2+((X4160-C4160)/C4158)^2)-1)</f>
        <v>5.8022406581637043E-3</v>
      </c>
      <c r="AB4168" s="2"/>
      <c r="AC4168" s="2">
        <f ca="1">ABS(SQRT(((Y4160-B4160)/B4158)^2+((Z4160-C4160)/C4158)^2)-1)</f>
        <v>3.9157644458895025E-2</v>
      </c>
      <c r="AD4168" s="2"/>
      <c r="AE4168" s="2">
        <f ca="1">ABS(SQRT(((AA4160-B4160)/B4158)^2+((AB4160-C4160)/C4158)^2)-1)</f>
        <v>4.3058273375332634E-3</v>
      </c>
    </row>
    <row r="4169" spans="1:31">
      <c r="A4169" s="2"/>
      <c r="B4169" s="2"/>
      <c r="C4169" s="2"/>
      <c r="D4169" s="2">
        <f t="shared" si="216"/>
        <v>12</v>
      </c>
      <c r="E4169" s="2" t="s">
        <v>6</v>
      </c>
      <c r="F4169" s="2">
        <f t="shared" ref="F4169:F4182" si="218">LEN(G4169)</f>
        <v>11</v>
      </c>
      <c r="G4169" s="2" t="str">
        <f t="shared" si="217"/>
        <v>elliptisch=</v>
      </c>
      <c r="H4169" s="24">
        <f t="shared" ref="H4169:H4174" si="219">H4168+C4161-C4160</f>
        <v>50</v>
      </c>
      <c r="I4169" s="24">
        <f t="shared" ref="I4169:I4174" si="220">I4168+B4161-B4160</f>
        <v>5900</v>
      </c>
      <c r="J4169" s="2"/>
      <c r="K4169" s="2">
        <f ca="1">ABS(SQRT(((G4161-B4161)/B4158)^2+((H4161-C4161)/C4158)^2)-1)</f>
        <v>7.5283688983594388E-2</v>
      </c>
      <c r="L4169" s="2"/>
      <c r="M4169" s="2">
        <f ca="1">ABS(SQRT(((I4161-B4161)/B4158)^2+((J4161-C4161)/C4158)^2)-1)</f>
        <v>3.9989125467015052E-2</v>
      </c>
      <c r="N4169" s="2"/>
      <c r="O4169" s="2">
        <f ca="1">ABS(SQRT(((K4161-B4161)/B4158)^2+((L4161-C4161)/C4158)^2)-1)</f>
        <v>9.3358182726781536E-3</v>
      </c>
      <c r="P4169" s="2"/>
      <c r="Q4169" s="2">
        <f ca="1">ABS(SQRT(((M4161-B4161)/B4158)^2+((N4161-C4161)/C4158)^2)-1)</f>
        <v>9.668534067298773E-2</v>
      </c>
      <c r="R4169" s="2"/>
      <c r="S4169" s="2">
        <f ca="1">ABS(SQRT(((O4161-B4161)/B4158)^2+((P4161-C4161)/C4158)^2)-1)</f>
        <v>6.1087370188801504E-3</v>
      </c>
      <c r="T4169" s="2"/>
      <c r="U4169" s="2">
        <f ca="1">ABS(SQRT(((Q4161-B4161)/B4158)^2+((R4161-C4161)/C4158)^2)-1)</f>
        <v>3.6998472833927654E-2</v>
      </c>
      <c r="V4169" s="2"/>
      <c r="W4169" s="2">
        <f ca="1">ABS(SQRT(((S4161-B4161)/B4158)^2+((T4161-C4161)/C4158)^2)-1)</f>
        <v>1.2027668808607839E-2</v>
      </c>
      <c r="X4169" s="2"/>
      <c r="Y4169" s="2">
        <f ca="1">ABS(SQRT(((U4161-B4161)/B4158)^2+((V4161-C4161)/C4158)^2)-1)</f>
        <v>8.6887904674501915E-2</v>
      </c>
      <c r="Z4169" s="2"/>
      <c r="AA4169" s="2">
        <f ca="1">ABS(SQRT(((W4161-B4161)/B4158)^2+((X4161-C4161)/C4158)^2)-1)</f>
        <v>3.2364284541073096E-2</v>
      </c>
      <c r="AB4169" s="2"/>
      <c r="AC4169" s="2">
        <f ca="1">ABS(SQRT(((Y4161-B4161)/B4158)^2+((Z4161-C4161)/C4158)^2)-1)</f>
        <v>2.6587392449548997E-2</v>
      </c>
      <c r="AD4169" s="2"/>
      <c r="AE4169" s="2">
        <f ca="1">ABS(SQRT(((AA4161-B4161)/B4158)^2+((AB4161-C4161)/C4158)^2)-1)</f>
        <v>1.2869032242473155E-2</v>
      </c>
    </row>
    <row r="4170" spans="1:31">
      <c r="A4170" s="2"/>
      <c r="B4170" s="2"/>
      <c r="C4170" s="2"/>
      <c r="D4170" s="2">
        <f t="shared" si="216"/>
        <v>12</v>
      </c>
      <c r="E4170" s="2" t="s">
        <v>6</v>
      </c>
      <c r="F4170" s="2">
        <f t="shared" si="218"/>
        <v>11</v>
      </c>
      <c r="G4170" s="2" t="str">
        <f t="shared" si="217"/>
        <v>elliptisch=</v>
      </c>
      <c r="H4170" s="24">
        <f t="shared" si="219"/>
        <v>50</v>
      </c>
      <c r="I4170" s="24">
        <f t="shared" si="220"/>
        <v>8600</v>
      </c>
      <c r="J4170" s="2"/>
      <c r="K4170" s="2">
        <f ca="1">ABS(SQRT(((G4162-B4162)/B4158)^2+((H4162-C4162)/C4158)^2)-1)</f>
        <v>0.14865799111381972</v>
      </c>
      <c r="L4170" s="2"/>
      <c r="M4170" s="2">
        <f ca="1">ABS(SQRT(((I4162-B4162)/B4158)^2+((J4162-C4162)/C4158)^2)-1)</f>
        <v>8.0617664158992852E-3</v>
      </c>
      <c r="N4170" s="2"/>
      <c r="O4170" s="2">
        <f ca="1">ABS(SQRT(((K4162-B4162)/B4158)^2+((L4162-C4162)/C4158)^2)-1)</f>
        <v>4.0945608595498451E-2</v>
      </c>
      <c r="P4170" s="2"/>
      <c r="Q4170" s="2">
        <f ca="1">ABS(SQRT(((M4162-B4162)/B4158)^2+((N4162-C4162)/C4158)^2)-1)</f>
        <v>0.12302821933961061</v>
      </c>
      <c r="R4170" s="2"/>
      <c r="S4170" s="2">
        <f ca="1">ABS(SQRT(((O4162-B4162)/B4158)^2+((P4162-C4162)/C4158)^2)-1)</f>
        <v>0.12404815752434939</v>
      </c>
      <c r="T4170" s="2"/>
      <c r="U4170" s="2">
        <f ca="1">ABS(SQRT(((Q4162-B4162)/B4158)^2+((R4162-C4162)/C4158)^2)-1)</f>
        <v>2.2527869129819855E-2</v>
      </c>
      <c r="V4170" s="2"/>
      <c r="W4170" s="2">
        <f ca="1">ABS(SQRT(((S4162-B4162)/B4158)^2+((T4162-C4162)/C4158)^2)-1)</f>
        <v>9.0894003978441051E-2</v>
      </c>
      <c r="X4170" s="2"/>
      <c r="Y4170" s="2">
        <f ca="1">ABS(SQRT(((U4162-B4162)/B4158)^2+((V4162-C4162)/C4158)^2)-1)</f>
        <v>3.3611696554095793E-2</v>
      </c>
      <c r="Z4170" s="2"/>
      <c r="AA4170" s="2">
        <f ca="1">ABS(SQRT(((W4162-B4162)/B4158)^2+((X4162-C4162)/C4158)^2)-1)</f>
        <v>2.7773360604365083E-2</v>
      </c>
      <c r="AB4170" s="2"/>
      <c r="AC4170" s="2">
        <f ca="1">ABS(SQRT(((Y4162-B4162)/B4158)^2+((Z4162-C4162)/C4158)^2)-1)</f>
        <v>3.0200224287209032E-3</v>
      </c>
      <c r="AD4170" s="2"/>
      <c r="AE4170" s="2">
        <f ca="1">ABS(SQRT(((AA4162-B4162)/B4158)^2+((AB4162-C4162)/C4158)^2)-1)</f>
        <v>6.1611481194652651E-2</v>
      </c>
    </row>
    <row r="4171" spans="1:31">
      <c r="A4171" s="2"/>
      <c r="B4171" s="2"/>
      <c r="C4171" s="2"/>
      <c r="D4171" s="2">
        <f t="shared" si="216"/>
        <v>12</v>
      </c>
      <c r="E4171" s="2" t="s">
        <v>6</v>
      </c>
      <c r="F4171" s="2">
        <f t="shared" si="218"/>
        <v>11</v>
      </c>
      <c r="G4171" s="2" t="str">
        <f t="shared" si="217"/>
        <v>elliptisch=</v>
      </c>
      <c r="H4171" s="24">
        <f t="shared" si="219"/>
        <v>1850</v>
      </c>
      <c r="I4171" s="24">
        <f t="shared" si="220"/>
        <v>500</v>
      </c>
      <c r="J4171" s="2"/>
      <c r="K4171" s="2">
        <f ca="1">ABS(SQRT(((G4163-B4163)/B4158)^2+((H4163-C4163)/C4158)^2)-1)</f>
        <v>0.12492715095435392</v>
      </c>
      <c r="L4171" s="2"/>
      <c r="M4171" s="2">
        <f ca="1">ABS(SQRT(((I4163-B4163)/B4158)^2+((J4163-C4163)/C4158)^2)-1)</f>
        <v>4.9775866032850891E-2</v>
      </c>
      <c r="N4171" s="2"/>
      <c r="O4171" s="2">
        <f ca="1">ABS(SQRT(((K4163-B4163)/B4158)^2+((L4163-C4163)/C4158)^2)-1)</f>
        <v>5.7658427656748001E-2</v>
      </c>
      <c r="P4171" s="2"/>
      <c r="Q4171" s="2">
        <f ca="1">ABS(SQRT(((M4163-B4163)/B4158)^2+((N4163-C4163)/C4158)^2)-1)</f>
        <v>9.9055993703058842E-3</v>
      </c>
      <c r="R4171" s="2"/>
      <c r="S4171" s="2">
        <f ca="1">ABS(SQRT(((O4163-B4163)/B4158)^2+((P4163-C4163)/C4158)^2)-1)</f>
        <v>0.15803118631675028</v>
      </c>
      <c r="T4171" s="2"/>
      <c r="U4171" s="2">
        <f ca="1">ABS(SQRT(((Q4163-B4163)/B4158)^2+((R4163-C4163)/C4158)^2)-1)</f>
        <v>0.14777062820988329</v>
      </c>
      <c r="V4171" s="2"/>
      <c r="W4171" s="2">
        <f ca="1">ABS(SQRT(((S4163-B4163)/B4158)^2+((T4163-C4163)/C4158)^2)-1)</f>
        <v>8.0663639958731492E-2</v>
      </c>
      <c r="X4171" s="2"/>
      <c r="Y4171" s="2">
        <f ca="1">ABS(SQRT(((U4163-B4163)/B4158)^2+((V4163-C4163)/C4158)^2)-1)</f>
        <v>0.11581965096767766</v>
      </c>
      <c r="Z4171" s="2"/>
      <c r="AA4171" s="2">
        <f ca="1">ABS(SQRT(((W4163-B4163)/B4158)^2+((X4163-C4163)/C4158)^2)-1)</f>
        <v>8.9905843879630187E-2</v>
      </c>
      <c r="AB4171" s="2"/>
      <c r="AC4171" s="2">
        <f ca="1">ABS(SQRT(((Y4163-B4163)/B4158)^2+((Z4163-C4163)/C4158)^2)-1)</f>
        <v>4.2313597858930629E-2</v>
      </c>
      <c r="AD4171" s="2"/>
      <c r="AE4171" s="2">
        <f ca="1">ABS(SQRT(((AA4163-B4163)/B4158)^2+((AB4163-C4163)/C4158)^2)-1)</f>
        <v>6.0637465846451688E-2</v>
      </c>
    </row>
    <row r="4172" spans="1:31">
      <c r="A4172" s="2"/>
      <c r="B4172" s="2"/>
      <c r="C4172" s="2"/>
      <c r="D4172" s="2">
        <f t="shared" si="216"/>
        <v>12</v>
      </c>
      <c r="E4172" s="2" t="s">
        <v>6</v>
      </c>
      <c r="F4172" s="2">
        <f t="shared" si="218"/>
        <v>11</v>
      </c>
      <c r="G4172" s="2" t="str">
        <f t="shared" si="217"/>
        <v>elliptisch=</v>
      </c>
      <c r="H4172" s="24">
        <f t="shared" si="219"/>
        <v>1850</v>
      </c>
      <c r="I4172" s="24">
        <f t="shared" si="220"/>
        <v>3200</v>
      </c>
      <c r="J4172" s="2"/>
      <c r="K4172" s="2">
        <f ca="1">ABS(SQRT(((G4164-B4164)/B4158)^2+((H4164-C4164)/C4158)^2)-1)</f>
        <v>8.7433065981145086E-3</v>
      </c>
      <c r="L4172" s="2"/>
      <c r="M4172" s="2">
        <f ca="1">ABS(SQRT(((I4164-B4164)/B4158)^2+((J4164-C4164)/C4158)^2)-1)</f>
        <v>0.17985843306000737</v>
      </c>
      <c r="N4172" s="2"/>
      <c r="O4172" s="2">
        <f ca="1">ABS(SQRT(((K4164-B4164)/B4158)^2+((L4164-C4164)/C4158)^2)-1)</f>
        <v>0.11980820553159344</v>
      </c>
      <c r="P4172" s="2"/>
      <c r="Q4172" s="2">
        <f ca="1">ABS(SQRT(((M4164-B4164)/B4158)^2+((N4164-C4164)/C4158)^2)-1)</f>
        <v>0.28517176632933761</v>
      </c>
      <c r="R4172" s="2"/>
      <c r="S4172" s="2">
        <f ca="1">ABS(SQRT(((O4164-B4164)/B4158)^2+((P4164-C4164)/C4158)^2)-1)</f>
        <v>0.13088903408400654</v>
      </c>
      <c r="T4172" s="2"/>
      <c r="U4172" s="2">
        <f ca="1">ABS(SQRT(((Q4164-B4164)/B4158)^2+((R4164-C4164)/C4158)^2)-1)</f>
        <v>0.27088725127479463</v>
      </c>
      <c r="V4172" s="2"/>
      <c r="W4172" s="2">
        <f ca="1">ABS(SQRT(((S4164-B4164)/B4158)^2+((T4164-C4164)/C4158)^2)-1)</f>
        <v>0.17935059542560694</v>
      </c>
      <c r="X4172" s="2"/>
      <c r="Y4172" s="2">
        <f ca="1">ABS(SQRT(((U4164-B4164)/B4158)^2+((V4164-C4164)/C4158)^2)-1)</f>
        <v>5.6216747646513854E-2</v>
      </c>
      <c r="Z4172" s="2"/>
      <c r="AA4172" s="2">
        <f ca="1">ABS(SQRT(((W4164-B4164)/B4158)^2+((X4164-C4164)/C4158)^2)-1)</f>
        <v>0.24155208272437534</v>
      </c>
      <c r="AB4172" s="2"/>
      <c r="AC4172" s="2">
        <f ca="1">ABS(SQRT(((Y4164-B4164)/B4158)^2+((Z4164-C4164)/C4158)^2)-1)</f>
        <v>0.26204127901198437</v>
      </c>
      <c r="AD4172" s="2"/>
      <c r="AE4172" s="2">
        <f ca="1">ABS(SQRT(((AA4164-B4164)/B4158)^2+((AB4164-C4164)/C4158)^2)-1)</f>
        <v>0.14582066078699296</v>
      </c>
    </row>
    <row r="4173" spans="1:31">
      <c r="A4173" s="2"/>
      <c r="B4173" s="2"/>
      <c r="C4173" s="2"/>
      <c r="D4173" s="2">
        <f t="shared" si="216"/>
        <v>12</v>
      </c>
      <c r="E4173" s="2" t="s">
        <v>6</v>
      </c>
      <c r="F4173" s="2">
        <f t="shared" si="218"/>
        <v>11</v>
      </c>
      <c r="G4173" s="2" t="str">
        <f t="shared" si="217"/>
        <v>elliptisch=</v>
      </c>
      <c r="H4173" s="24">
        <f t="shared" si="219"/>
        <v>1850</v>
      </c>
      <c r="I4173" s="24">
        <f t="shared" si="220"/>
        <v>5900</v>
      </c>
      <c r="J4173" s="2"/>
      <c r="K4173" s="2">
        <f ca="1">ABS(SQRT(((G4165-B4165)/B4158)^2+((H4165-C4165)/C4158)^2)-1)</f>
        <v>1.6713052129554873E-2</v>
      </c>
      <c r="L4173" s="2"/>
      <c r="M4173" s="2">
        <f ca="1">ABS(SQRT(((I4165-B4165)/B4158)^2+((J4165-C4165)/C4158)^2)-1)</f>
        <v>0.15447420330501282</v>
      </c>
      <c r="N4173" s="2"/>
      <c r="O4173" s="2">
        <f ca="1">ABS(SQRT(((K4165-B4165)/B4158)^2+((L4165-C4165)/C4158)^2)-1)</f>
        <v>0.44748881602608237</v>
      </c>
      <c r="P4173" s="2"/>
      <c r="Q4173" s="2">
        <f ca="1">ABS(SQRT(((M4165-B4165)/B4158)^2+((N4165-C4165)/C4158)^2)-1)</f>
        <v>0.45787927864031563</v>
      </c>
      <c r="R4173" s="2"/>
      <c r="S4173" s="2">
        <f ca="1">ABS(SQRT(((O4165-B4165)/B4158)^2+((P4165-C4165)/C4158)^2)-1)</f>
        <v>0.27671328197405942</v>
      </c>
      <c r="T4173" s="2"/>
      <c r="U4173" s="2">
        <f ca="1">ABS(SQRT(((Q4165-B4165)/B4158)^2+((R4165-C4165)/C4158)^2)-1)</f>
        <v>0.25575943046008032</v>
      </c>
      <c r="V4173" s="2"/>
      <c r="W4173" s="2">
        <f ca="1">ABS(SQRT(((S4165-B4165)/B4158)^2+((T4165-C4165)/C4158)^2)-1)</f>
        <v>0.20173563638540148</v>
      </c>
      <c r="X4173" s="2"/>
      <c r="Y4173" s="2">
        <f ca="1">ABS(SQRT(((U4165-B4165)/B4158)^2+((V4165-C4165)/C4158)^2)-1)</f>
        <v>0.10933321287072384</v>
      </c>
      <c r="Z4173" s="2"/>
      <c r="AA4173" s="2">
        <f ca="1">ABS(SQRT(((W4165-B4165)/B4158)^2+((X4165-C4165)/C4158)^2)-1)</f>
        <v>0.19134399040702843</v>
      </c>
      <c r="AB4173" s="2"/>
      <c r="AC4173" s="2">
        <f ca="1">ABS(SQRT(((Y4165-B4165)/B4158)^2+((Z4165-C4165)/C4158)^2)-1)</f>
        <v>0.35317089002804736</v>
      </c>
      <c r="AD4173" s="2"/>
      <c r="AE4173" s="2">
        <f ca="1">ABS(SQRT(((AA4165-B4165)/B4158)^2+((AB4165-C4165)/C4158)^2)-1)</f>
        <v>0.18257794848151443</v>
      </c>
    </row>
    <row r="4174" spans="1:31">
      <c r="A4174" s="2"/>
      <c r="B4174" s="2"/>
      <c r="C4174" s="2"/>
      <c r="D4174" s="2">
        <f t="shared" si="216"/>
        <v>12</v>
      </c>
      <c r="E4174" s="2" t="s">
        <v>6</v>
      </c>
      <c r="F4174" s="2">
        <f t="shared" si="218"/>
        <v>11</v>
      </c>
      <c r="G4174" s="2" t="str">
        <f t="shared" si="217"/>
        <v>elliptisch=</v>
      </c>
      <c r="H4174" s="24">
        <f t="shared" si="219"/>
        <v>1850</v>
      </c>
      <c r="I4174" s="24">
        <f t="shared" si="220"/>
        <v>8600</v>
      </c>
      <c r="J4174" s="2"/>
      <c r="K4174" s="2">
        <f ca="1">ABS(SQRT(((G4166-B4166)/B4158)^2+((H4166-C4166)/C4158)^2)-1)</f>
        <v>0.23019693372310934</v>
      </c>
      <c r="L4174" s="2"/>
      <c r="M4174" s="2">
        <f ca="1">ABS(SQRT(((I4166-B4166)/B4158)^2+((J4166-C4166)/C4158)^2)-1)</f>
        <v>0.18784878632546587</v>
      </c>
      <c r="N4174" s="2"/>
      <c r="O4174" s="2">
        <f ca="1">ABS(SQRT(((K4166-B4166)/B4158)^2+((L4166-C4166)/C4158)^2)-1)</f>
        <v>0.24863135918675972</v>
      </c>
      <c r="P4174" s="2"/>
      <c r="Q4174" s="2">
        <f ca="1">ABS(SQRT(((M4166-B4166)/B4158)^2+((N4166-C4166)/C4158)^2)-1)</f>
        <v>0.72741515901882214</v>
      </c>
      <c r="R4174" s="2"/>
      <c r="S4174" s="2">
        <f ca="1">ABS(SQRT(((O4166-B4166)/B4158)^2+((P4166-C4166)/C4158)^2)-1)</f>
        <v>7.5659954867602242E-2</v>
      </c>
      <c r="T4174" s="2"/>
      <c r="U4174" s="2">
        <f ca="1">ABS(SQRT(((Q4166-B4166)/B4158)^2+((R4166-C4166)/C4158)^2)-1)</f>
        <v>0.88421492414831193</v>
      </c>
      <c r="V4174" s="2"/>
      <c r="W4174" s="2">
        <f ca="1">ABS(SQRT(((S4166-B4166)/B4158)^2+((T4166-C4166)/C4158)^2)-1)</f>
        <v>0.49061056883552012</v>
      </c>
      <c r="X4174" s="2"/>
      <c r="Y4174" s="2">
        <f ca="1">ABS(SQRT(((U4166-B4166)/B4158)^2+((V4166-C4166)/C4158)^2)-1)</f>
        <v>0.7511353111966772</v>
      </c>
      <c r="Z4174" s="2"/>
      <c r="AA4174" s="2">
        <f ca="1">ABS(SQRT(((W4166-B4166)/B4158)^2+((X4166-C4166)/C4158)^2)-1)</f>
        <v>0.16092694954345088</v>
      </c>
      <c r="AB4174" s="2"/>
      <c r="AC4174" s="2">
        <f ca="1">ABS(SQRT(((Y4166-B4166)/B4158)^2+((Z4166-C4166)/C4158)^2)-1)</f>
        <v>0.19411348882057977</v>
      </c>
      <c r="AD4174" s="2"/>
      <c r="AE4174" s="2">
        <f ca="1">ABS(SQRT(((AA4166-B4166)/B4158)^2+((AB4166-C4166)/C4158)^2)-1)</f>
        <v>0.16481078560655404</v>
      </c>
    </row>
    <row r="4175" spans="1:31">
      <c r="A4175" s="2"/>
      <c r="B4175" s="2"/>
      <c r="C4175" s="2"/>
      <c r="D4175" s="2">
        <f t="shared" si="216"/>
        <v>12</v>
      </c>
      <c r="E4175" s="2" t="s">
        <v>6</v>
      </c>
      <c r="F4175" s="2">
        <f t="shared" si="218"/>
        <v>12</v>
      </c>
      <c r="G4175" s="2" t="str">
        <f>"elliptisch²="&amp;AJ4184</f>
        <v>elliptisch²=</v>
      </c>
      <c r="H4175" s="24">
        <f>H4167+300</f>
        <v>350</v>
      </c>
      <c r="I4175" s="24">
        <f>I4167</f>
        <v>500</v>
      </c>
      <c r="J4175" s="2"/>
      <c r="K4175" s="2"/>
      <c r="L4175" s="2"/>
      <c r="M4175" s="2"/>
      <c r="N4175" s="2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  <c r="AB4175" s="2"/>
      <c r="AC4175" s="2"/>
      <c r="AD4175" s="2"/>
      <c r="AE4175" s="2"/>
    </row>
    <row r="4176" spans="1:31">
      <c r="A4176" s="2"/>
      <c r="B4176" s="2"/>
      <c r="C4176" s="2"/>
      <c r="D4176" s="2">
        <f t="shared" si="216"/>
        <v>12</v>
      </c>
      <c r="E4176" s="2" t="s">
        <v>6</v>
      </c>
      <c r="F4176" s="2">
        <f t="shared" si="218"/>
        <v>12</v>
      </c>
      <c r="G4176" s="2" t="str">
        <f t="shared" ref="G4176:G4182" si="221">"elliptisch²="&amp;AJ4185</f>
        <v>elliptisch²=</v>
      </c>
      <c r="H4176" s="24">
        <f t="shared" ref="H4176:H4182" si="222">H4168+300</f>
        <v>350</v>
      </c>
      <c r="I4176" s="24">
        <f t="shared" ref="I4176:I4182" si="223">I4168</f>
        <v>3200</v>
      </c>
      <c r="J4176" s="2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  <c r="AB4176" s="2"/>
      <c r="AC4176" s="2"/>
      <c r="AD4176" s="2"/>
      <c r="AE4176" s="2"/>
    </row>
    <row r="4177" spans="1:31">
      <c r="A4177" s="2"/>
      <c r="B4177" s="2"/>
      <c r="C4177" s="2"/>
      <c r="D4177" s="2">
        <f t="shared" si="216"/>
        <v>12</v>
      </c>
      <c r="E4177" s="2" t="s">
        <v>6</v>
      </c>
      <c r="F4177" s="2">
        <f t="shared" si="218"/>
        <v>12</v>
      </c>
      <c r="G4177" s="2" t="str">
        <f t="shared" si="221"/>
        <v>elliptisch²=</v>
      </c>
      <c r="H4177" s="24">
        <f t="shared" si="222"/>
        <v>350</v>
      </c>
      <c r="I4177" s="24">
        <f t="shared" si="223"/>
        <v>5900</v>
      </c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  <c r="AB4177" s="2"/>
      <c r="AC4177" s="2"/>
      <c r="AD4177" s="2"/>
      <c r="AE4177" s="2"/>
    </row>
    <row r="4178" spans="1:31">
      <c r="A4178" s="2"/>
      <c r="B4178" s="2"/>
      <c r="C4178" s="2"/>
      <c r="D4178" s="2">
        <f t="shared" si="216"/>
        <v>12</v>
      </c>
      <c r="E4178" s="2" t="s">
        <v>6</v>
      </c>
      <c r="F4178" s="2">
        <f t="shared" si="218"/>
        <v>12</v>
      </c>
      <c r="G4178" s="2" t="str">
        <f t="shared" si="221"/>
        <v>elliptisch²=</v>
      </c>
      <c r="H4178" s="24">
        <f t="shared" si="222"/>
        <v>350</v>
      </c>
      <c r="I4178" s="24">
        <f t="shared" si="223"/>
        <v>8600</v>
      </c>
      <c r="J4178" s="2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  <c r="AB4178" s="2"/>
      <c r="AC4178" s="2"/>
      <c r="AD4178" s="2"/>
      <c r="AE4178" s="2"/>
    </row>
    <row r="4179" spans="1:31">
      <c r="A4179" s="2"/>
      <c r="B4179" s="2"/>
      <c r="C4179" s="2"/>
      <c r="D4179" s="2">
        <f t="shared" si="216"/>
        <v>12</v>
      </c>
      <c r="E4179" s="2" t="s">
        <v>6</v>
      </c>
      <c r="F4179" s="2">
        <f t="shared" si="218"/>
        <v>12</v>
      </c>
      <c r="G4179" s="2" t="str">
        <f t="shared" si="221"/>
        <v>elliptisch²=</v>
      </c>
      <c r="H4179" s="24">
        <f t="shared" si="222"/>
        <v>2150</v>
      </c>
      <c r="I4179" s="24">
        <f t="shared" si="223"/>
        <v>500</v>
      </c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  <c r="AB4179" s="2"/>
      <c r="AC4179" s="2"/>
      <c r="AD4179" s="2"/>
      <c r="AE4179" s="2"/>
    </row>
    <row r="4180" spans="1:31">
      <c r="A4180" s="2"/>
      <c r="B4180" s="2"/>
      <c r="C4180" s="2"/>
      <c r="D4180" s="2">
        <f t="shared" si="216"/>
        <v>12</v>
      </c>
      <c r="E4180" s="2" t="s">
        <v>6</v>
      </c>
      <c r="F4180" s="2">
        <f t="shared" si="218"/>
        <v>12</v>
      </c>
      <c r="G4180" s="2" t="str">
        <f t="shared" si="221"/>
        <v>elliptisch²=</v>
      </c>
      <c r="H4180" s="24">
        <f t="shared" si="222"/>
        <v>2150</v>
      </c>
      <c r="I4180" s="24">
        <f t="shared" si="223"/>
        <v>3200</v>
      </c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  <c r="AB4180" s="2"/>
      <c r="AC4180" s="2"/>
      <c r="AD4180" s="2"/>
      <c r="AE4180" s="2"/>
    </row>
    <row r="4181" spans="1:31">
      <c r="A4181" s="2"/>
      <c r="B4181" s="2"/>
      <c r="C4181" s="2"/>
      <c r="D4181" s="2">
        <f t="shared" si="216"/>
        <v>12</v>
      </c>
      <c r="E4181" s="2" t="s">
        <v>6</v>
      </c>
      <c r="F4181" s="2">
        <f t="shared" si="218"/>
        <v>12</v>
      </c>
      <c r="G4181" s="2" t="str">
        <f t="shared" si="221"/>
        <v>elliptisch²=</v>
      </c>
      <c r="H4181" s="24">
        <f t="shared" si="222"/>
        <v>2150</v>
      </c>
      <c r="I4181" s="24">
        <f t="shared" si="223"/>
        <v>5900</v>
      </c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  <c r="AB4181" s="2"/>
      <c r="AC4181" s="2"/>
      <c r="AD4181" s="2"/>
      <c r="AE4181" s="2"/>
    </row>
    <row r="4182" spans="1:31">
      <c r="A4182" s="2"/>
      <c r="B4182" s="2"/>
      <c r="C4182" s="2"/>
      <c r="D4182" s="2">
        <f t="shared" si="216"/>
        <v>12</v>
      </c>
      <c r="E4182" s="2" t="s">
        <v>6</v>
      </c>
      <c r="F4182" s="2">
        <f t="shared" si="218"/>
        <v>12</v>
      </c>
      <c r="G4182" s="2" t="str">
        <f t="shared" si="221"/>
        <v>elliptisch²=</v>
      </c>
      <c r="H4182" s="24">
        <f t="shared" si="222"/>
        <v>2150</v>
      </c>
      <c r="I4182" s="24">
        <f t="shared" si="223"/>
        <v>8600</v>
      </c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  <c r="AB4182" s="2"/>
      <c r="AC4182" s="2"/>
      <c r="AD4182" s="2"/>
      <c r="AE4182" s="2"/>
    </row>
    <row r="4183" spans="1:31">
      <c r="A4183" s="2"/>
      <c r="B4183" s="2"/>
      <c r="C4183" s="2"/>
      <c r="D4183" s="2">
        <v>4</v>
      </c>
      <c r="E4183" s="2" t="s">
        <v>15</v>
      </c>
      <c r="F4183" s="2">
        <v>1</v>
      </c>
      <c r="G4183" s="2"/>
      <c r="H4183" s="24"/>
      <c r="I4183" s="24"/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  <c r="AB4183" s="2"/>
      <c r="AC4183" s="2"/>
      <c r="AD4183" s="2"/>
      <c r="AE4183" s="2"/>
    </row>
    <row r="4184" spans="1:31">
      <c r="A4184" s="2"/>
      <c r="B4184" s="2"/>
      <c r="C4184" s="2"/>
      <c r="D4184" s="2">
        <v>4</v>
      </c>
      <c r="E4184" s="2" t="s">
        <v>15</v>
      </c>
      <c r="F4184" s="2">
        <v>4</v>
      </c>
      <c r="G4184" s="2"/>
      <c r="H4184" s="24"/>
      <c r="I4184" s="24"/>
      <c r="J4184" s="2"/>
      <c r="K4184" s="2">
        <f t="shared" ref="K4184:K4191" ca="1" si="224">K4167^2</f>
        <v>0</v>
      </c>
      <c r="L4184" s="2"/>
      <c r="M4184" s="2">
        <f t="shared" ref="M4184:M4191" ca="1" si="225">M4167^2</f>
        <v>0</v>
      </c>
      <c r="N4184" s="2"/>
      <c r="O4184" s="2">
        <f t="shared" ref="O4184:O4191" ca="1" si="226">O4167^2</f>
        <v>0</v>
      </c>
      <c r="P4184" s="2"/>
      <c r="Q4184" s="2">
        <f t="shared" ref="Q4184:Q4191" ca="1" si="227">Q4167^2</f>
        <v>0</v>
      </c>
      <c r="R4184" s="2"/>
      <c r="S4184" s="2">
        <f t="shared" ref="S4184:S4191" ca="1" si="228">S4167^2</f>
        <v>0</v>
      </c>
      <c r="T4184" s="2"/>
      <c r="U4184" s="2">
        <f t="shared" ref="U4184:U4191" ca="1" si="229">U4167^2</f>
        <v>0</v>
      </c>
      <c r="V4184" s="2"/>
      <c r="W4184" s="2">
        <f t="shared" ref="W4184:W4191" ca="1" si="230">W4167^2</f>
        <v>0</v>
      </c>
      <c r="X4184" s="2"/>
      <c r="Y4184" s="2">
        <f t="shared" ref="Y4184:Y4191" ca="1" si="231">Y4167^2</f>
        <v>0</v>
      </c>
      <c r="Z4184" s="2"/>
      <c r="AA4184" s="2">
        <f t="shared" ref="AA4184:AA4191" ca="1" si="232">AA4167^2</f>
        <v>0</v>
      </c>
      <c r="AB4184" s="2"/>
      <c r="AC4184" s="2">
        <f t="shared" ref="AC4184:AC4191" ca="1" si="233">AC4167^2</f>
        <v>0</v>
      </c>
      <c r="AD4184" s="2"/>
      <c r="AE4184" s="2">
        <f t="shared" ref="AE4184:AE4191" ca="1" si="234">AE4167^2</f>
        <v>0</v>
      </c>
    </row>
    <row r="4185" spans="1:31">
      <c r="A4185" s="2"/>
      <c r="B4185" s="2"/>
      <c r="C4185" s="2"/>
      <c r="D4185" s="2">
        <v>7</v>
      </c>
      <c r="E4185" s="2" t="s">
        <v>0</v>
      </c>
      <c r="F4185" s="2">
        <f>C4159-C4158</f>
        <v>700</v>
      </c>
      <c r="G4185" s="2">
        <f>B4159-B4158</f>
        <v>200</v>
      </c>
      <c r="H4185" s="24">
        <f>C4159+C4158</f>
        <v>1700</v>
      </c>
      <c r="I4185" s="24">
        <f>B4159+B4158</f>
        <v>2200</v>
      </c>
      <c r="J4185" s="2"/>
      <c r="K4185" s="2">
        <f t="shared" ca="1" si="224"/>
        <v>3.6680316012550023E-6</v>
      </c>
      <c r="L4185" s="2"/>
      <c r="M4185" s="2">
        <f t="shared" ca="1" si="225"/>
        <v>4.8340604879470235E-4</v>
      </c>
      <c r="N4185" s="2"/>
      <c r="O4185" s="2">
        <f t="shared" ca="1" si="226"/>
        <v>2.0163887789180862E-4</v>
      </c>
      <c r="P4185" s="2"/>
      <c r="Q4185" s="2">
        <f t="shared" ca="1" si="227"/>
        <v>3.2257376262097954E-4</v>
      </c>
      <c r="R4185" s="2"/>
      <c r="S4185" s="2">
        <f t="shared" ca="1" si="228"/>
        <v>2.852982613809558E-5</v>
      </c>
      <c r="T4185" s="2"/>
      <c r="U4185" s="2">
        <f t="shared" ca="1" si="229"/>
        <v>1.0006131847755427E-4</v>
      </c>
      <c r="V4185" s="2"/>
      <c r="W4185" s="2">
        <f t="shared" ca="1" si="230"/>
        <v>1.4183925576685429E-3</v>
      </c>
      <c r="X4185" s="2"/>
      <c r="Y4185" s="2">
        <f t="shared" ca="1" si="231"/>
        <v>1.4081116611377614E-3</v>
      </c>
      <c r="Z4185" s="2"/>
      <c r="AA4185" s="2">
        <f t="shared" ca="1" si="232"/>
        <v>3.3665996655247979E-5</v>
      </c>
      <c r="AB4185" s="2"/>
      <c r="AC4185" s="2">
        <f t="shared" ca="1" si="233"/>
        <v>1.5333211195692322E-3</v>
      </c>
      <c r="AD4185" s="2"/>
      <c r="AE4185" s="2">
        <f t="shared" ca="1" si="234"/>
        <v>1.8540149060648792E-5</v>
      </c>
    </row>
    <row r="4186" spans="1:31">
      <c r="A4186" s="2"/>
      <c r="B4186" s="2"/>
      <c r="C4186" s="2"/>
      <c r="D4186" s="2">
        <v>7</v>
      </c>
      <c r="E4186" s="2" t="s">
        <v>0</v>
      </c>
      <c r="F4186" s="2">
        <f>C4160-C4158</f>
        <v>700</v>
      </c>
      <c r="G4186" s="2">
        <f>B4160-B4158</f>
        <v>2900</v>
      </c>
      <c r="H4186" s="24">
        <f>C4160+C4158</f>
        <v>1700</v>
      </c>
      <c r="I4186" s="24">
        <f>B4160+B4158</f>
        <v>4900</v>
      </c>
      <c r="J4186" s="2"/>
      <c r="K4186" s="2">
        <f t="shared" ca="1" si="224"/>
        <v>5.6676338269785707E-3</v>
      </c>
      <c r="L4186" s="2"/>
      <c r="M4186" s="2">
        <f t="shared" ca="1" si="225"/>
        <v>1.5991301556166717E-3</v>
      </c>
      <c r="N4186" s="2"/>
      <c r="O4186" s="2">
        <f t="shared" ca="1" si="226"/>
        <v>8.7157502820471301E-5</v>
      </c>
      <c r="P4186" s="2"/>
      <c r="Q4186" s="2">
        <f t="shared" ca="1" si="227"/>
        <v>9.3480551010516957E-3</v>
      </c>
      <c r="R4186" s="2"/>
      <c r="S4186" s="2">
        <f t="shared" ca="1" si="228"/>
        <v>3.7316667965836749E-5</v>
      </c>
      <c r="T4186" s="2"/>
      <c r="U4186" s="2">
        <f t="shared" ca="1" si="229"/>
        <v>1.3688869920428827E-3</v>
      </c>
      <c r="V4186" s="2"/>
      <c r="W4186" s="2">
        <f t="shared" ca="1" si="230"/>
        <v>1.4466481696955792E-4</v>
      </c>
      <c r="X4186" s="2"/>
      <c r="Y4186" s="2">
        <f t="shared" ca="1" si="231"/>
        <v>7.5495079787253313E-3</v>
      </c>
      <c r="Z4186" s="2"/>
      <c r="AA4186" s="2">
        <f t="shared" ca="1" si="232"/>
        <v>1.0474469138555429E-3</v>
      </c>
      <c r="AB4186" s="2"/>
      <c r="AC4186" s="2">
        <f t="shared" ca="1" si="233"/>
        <v>7.0688943726633494E-4</v>
      </c>
      <c r="AD4186" s="2"/>
      <c r="AE4186" s="2">
        <f t="shared" ca="1" si="234"/>
        <v>1.6561199085781366E-4</v>
      </c>
    </row>
    <row r="4187" spans="1:31">
      <c r="A4187" s="2"/>
      <c r="B4187" s="2"/>
      <c r="C4187" s="2"/>
      <c r="D4187" s="2">
        <v>7</v>
      </c>
      <c r="E4187" s="2" t="s">
        <v>0</v>
      </c>
      <c r="F4187" s="2">
        <f>C4161-C4158</f>
        <v>700</v>
      </c>
      <c r="G4187" s="2">
        <f>B4161-B4158</f>
        <v>5600</v>
      </c>
      <c r="H4187" s="24">
        <f>C4161+C4158</f>
        <v>1700</v>
      </c>
      <c r="I4187" s="24">
        <f>B4161+B4158</f>
        <v>7600</v>
      </c>
      <c r="J4187" s="2"/>
      <c r="K4187" s="2">
        <f t="shared" ca="1" si="224"/>
        <v>2.2099198321996503E-2</v>
      </c>
      <c r="L4187" s="2"/>
      <c r="M4187" s="2">
        <f t="shared" ca="1" si="225"/>
        <v>6.4992077744521613E-5</v>
      </c>
      <c r="N4187" s="2"/>
      <c r="O4187" s="2">
        <f t="shared" ca="1" si="226"/>
        <v>1.6765428632557566E-3</v>
      </c>
      <c r="P4187" s="2"/>
      <c r="Q4187" s="2">
        <f t="shared" ca="1" si="227"/>
        <v>1.5135942753875338E-2</v>
      </c>
      <c r="R4187" s="2"/>
      <c r="S4187" s="2">
        <f t="shared" ca="1" si="228"/>
        <v>1.53879453851858E-2</v>
      </c>
      <c r="T4187" s="2"/>
      <c r="U4187" s="2">
        <f t="shared" ca="1" si="229"/>
        <v>5.0750488753029035E-4</v>
      </c>
      <c r="V4187" s="2"/>
      <c r="W4187" s="2">
        <f t="shared" ca="1" si="230"/>
        <v>8.261719959232857E-3</v>
      </c>
      <c r="X4187" s="2"/>
      <c r="Y4187" s="2">
        <f t="shared" ca="1" si="231"/>
        <v>1.129746145244615E-3</v>
      </c>
      <c r="Z4187" s="2"/>
      <c r="AA4187" s="2">
        <f t="shared" ca="1" si="232"/>
        <v>7.7135955926009841E-4</v>
      </c>
      <c r="AB4187" s="2"/>
      <c r="AC4187" s="2">
        <f t="shared" ca="1" si="233"/>
        <v>9.1205354699773024E-6</v>
      </c>
      <c r="AD4187" s="2"/>
      <c r="AE4187" s="2">
        <f t="shared" ca="1" si="234"/>
        <v>3.7959746149990371E-3</v>
      </c>
    </row>
    <row r="4188" spans="1:31">
      <c r="A4188" s="2"/>
      <c r="B4188" s="2"/>
      <c r="C4188" s="2"/>
      <c r="D4188" s="2">
        <v>7</v>
      </c>
      <c r="E4188" s="2" t="s">
        <v>0</v>
      </c>
      <c r="F4188" s="2">
        <f>C4162-C4158</f>
        <v>700</v>
      </c>
      <c r="G4188" s="2">
        <f>B4162-B4158</f>
        <v>8300</v>
      </c>
      <c r="H4188" s="24">
        <f>C4162+C4158</f>
        <v>1700</v>
      </c>
      <c r="I4188" s="24">
        <f>B4162+B4158</f>
        <v>10300</v>
      </c>
      <c r="J4188" s="2"/>
      <c r="K4188" s="2">
        <f t="shared" ca="1" si="224"/>
        <v>1.5606793045571931E-2</v>
      </c>
      <c r="L4188" s="2"/>
      <c r="M4188" s="2">
        <f t="shared" ca="1" si="225"/>
        <v>2.477636839320319E-3</v>
      </c>
      <c r="N4188" s="2"/>
      <c r="O4188" s="2">
        <f t="shared" ca="1" si="226"/>
        <v>3.3244942798484429E-3</v>
      </c>
      <c r="P4188" s="2"/>
      <c r="Q4188" s="2">
        <f t="shared" ca="1" si="227"/>
        <v>9.8120898885004329E-5</v>
      </c>
      <c r="R4188" s="2"/>
      <c r="S4188" s="2">
        <f t="shared" ca="1" si="228"/>
        <v>2.4973855848679442E-2</v>
      </c>
      <c r="T4188" s="2"/>
      <c r="U4188" s="2">
        <f t="shared" ca="1" si="229"/>
        <v>2.1836158561543556E-2</v>
      </c>
      <c r="V4188" s="2"/>
      <c r="W4188" s="2">
        <f t="shared" ca="1" si="230"/>
        <v>6.5066228113918635E-3</v>
      </c>
      <c r="X4188" s="2"/>
      <c r="Y4188" s="2">
        <f t="shared" ca="1" si="231"/>
        <v>1.3414191550274675E-2</v>
      </c>
      <c r="Z4188" s="2"/>
      <c r="AA4188" s="2">
        <f t="shared" ca="1" si="232"/>
        <v>8.0830607637084363E-3</v>
      </c>
      <c r="AB4188" s="2"/>
      <c r="AC4188" s="2">
        <f t="shared" ca="1" si="233"/>
        <v>1.7904405637672988E-3</v>
      </c>
      <c r="AD4188" s="2"/>
      <c r="AE4188" s="2">
        <f t="shared" ca="1" si="234"/>
        <v>3.6769022642795949E-3</v>
      </c>
    </row>
    <row r="4189" spans="1:31">
      <c r="A4189" s="2"/>
      <c r="B4189" s="2"/>
      <c r="C4189" s="2"/>
      <c r="D4189" s="2">
        <v>7</v>
      </c>
      <c r="E4189" s="2" t="s">
        <v>0</v>
      </c>
      <c r="F4189" s="2">
        <f>C4163-C4158</f>
        <v>2500</v>
      </c>
      <c r="G4189" s="2">
        <f>B4163-B4158</f>
        <v>200</v>
      </c>
      <c r="H4189" s="24">
        <f>C4163+C4158</f>
        <v>3500</v>
      </c>
      <c r="I4189" s="24">
        <f>B4163+B4158</f>
        <v>2200</v>
      </c>
      <c r="J4189" s="2"/>
      <c r="K4189" s="2">
        <f t="shared" ca="1" si="224"/>
        <v>7.6445410268632697E-5</v>
      </c>
      <c r="L4189" s="2"/>
      <c r="M4189" s="2">
        <f t="shared" ca="1" si="225"/>
        <v>3.2349055942801151E-2</v>
      </c>
      <c r="N4189" s="2"/>
      <c r="O4189" s="2">
        <f t="shared" ca="1" si="226"/>
        <v>1.4354006112700535E-2</v>
      </c>
      <c r="P4189" s="2"/>
      <c r="Q4189" s="2">
        <f t="shared" ca="1" si="227"/>
        <v>8.1322936311394325E-2</v>
      </c>
      <c r="R4189" s="2"/>
      <c r="S4189" s="2">
        <f t="shared" ca="1" si="228"/>
        <v>1.7131939243444225E-2</v>
      </c>
      <c r="T4189" s="2"/>
      <c r="U4189" s="2">
        <f t="shared" ca="1" si="229"/>
        <v>7.3379902903213723E-2</v>
      </c>
      <c r="V4189" s="2"/>
      <c r="W4189" s="2">
        <f t="shared" ca="1" si="230"/>
        <v>3.2166636079519743E-2</v>
      </c>
      <c r="X4189" s="2"/>
      <c r="Y4189" s="2">
        <f t="shared" ca="1" si="231"/>
        <v>3.160322715951821E-3</v>
      </c>
      <c r="Z4189" s="2"/>
      <c r="AA4189" s="2">
        <f t="shared" ca="1" si="232"/>
        <v>5.8347408668483466E-2</v>
      </c>
      <c r="AB4189" s="2"/>
      <c r="AC4189" s="2">
        <f t="shared" ca="1" si="233"/>
        <v>6.8665631906236646E-2</v>
      </c>
      <c r="AD4189" s="2"/>
      <c r="AE4189" s="2">
        <f t="shared" ca="1" si="234"/>
        <v>2.1263665112355268E-2</v>
      </c>
    </row>
    <row r="4190" spans="1:31">
      <c r="A4190" s="2"/>
      <c r="B4190" s="2"/>
      <c r="C4190" s="2"/>
      <c r="D4190" s="2">
        <v>7</v>
      </c>
      <c r="E4190" s="2" t="s">
        <v>0</v>
      </c>
      <c r="F4190" s="2">
        <f>C4164-C4158</f>
        <v>2500</v>
      </c>
      <c r="G4190" s="2">
        <f>B4164-B4158</f>
        <v>2900</v>
      </c>
      <c r="H4190" s="24">
        <f>C4164+C4158</f>
        <v>3500</v>
      </c>
      <c r="I4190" s="24">
        <f>B4164+B4158</f>
        <v>4900</v>
      </c>
      <c r="J4190" s="2"/>
      <c r="K4190" s="2">
        <f t="shared" ca="1" si="224"/>
        <v>2.7932611148521867E-4</v>
      </c>
      <c r="L4190" s="2"/>
      <c r="M4190" s="2">
        <f t="shared" ca="1" si="225"/>
        <v>2.3862279486718437E-2</v>
      </c>
      <c r="N4190" s="2"/>
      <c r="O4190" s="2">
        <f t="shared" ca="1" si="226"/>
        <v>0.20024624046842499</v>
      </c>
      <c r="P4190" s="2"/>
      <c r="Q4190" s="2">
        <f t="shared" ca="1" si="227"/>
        <v>0.2096534338081758</v>
      </c>
      <c r="R4190" s="2"/>
      <c r="S4190" s="2">
        <f t="shared" ca="1" si="228"/>
        <v>7.6570240420855321E-2</v>
      </c>
      <c r="T4190" s="2"/>
      <c r="U4190" s="2">
        <f t="shared" ca="1" si="229"/>
        <v>6.5412886269264656E-2</v>
      </c>
      <c r="V4190" s="2"/>
      <c r="W4190" s="2">
        <f t="shared" ca="1" si="230"/>
        <v>4.0697266987822923E-2</v>
      </c>
      <c r="X4190" s="2"/>
      <c r="Y4190" s="2">
        <f t="shared" ca="1" si="231"/>
        <v>1.1953751436635013E-2</v>
      </c>
      <c r="Z4190" s="2"/>
      <c r="AA4190" s="2">
        <f t="shared" ca="1" si="232"/>
        <v>3.6612522664884989E-2</v>
      </c>
      <c r="AB4190" s="2"/>
      <c r="AC4190" s="2">
        <f t="shared" ca="1" si="233"/>
        <v>0.12472967756320312</v>
      </c>
      <c r="AD4190" s="2"/>
      <c r="AE4190" s="2">
        <f t="shared" ca="1" si="234"/>
        <v>3.3334707271718535E-2</v>
      </c>
    </row>
    <row r="4191" spans="1:31">
      <c r="A4191" s="2"/>
      <c r="B4191" s="2"/>
      <c r="C4191" s="2"/>
      <c r="D4191" s="2">
        <v>7</v>
      </c>
      <c r="E4191" s="2" t="s">
        <v>0</v>
      </c>
      <c r="F4191" s="2">
        <f>C4165-C4158</f>
        <v>2500</v>
      </c>
      <c r="G4191" s="2">
        <f>B4165-B4158</f>
        <v>5600</v>
      </c>
      <c r="H4191" s="24">
        <f>C4165+C4158</f>
        <v>3500</v>
      </c>
      <c r="I4191" s="24">
        <f>B4165+B4158</f>
        <v>7600</v>
      </c>
      <c r="J4191" s="2"/>
      <c r="K4191" s="2">
        <f t="shared" ca="1" si="224"/>
        <v>5.2990628295521598E-2</v>
      </c>
      <c r="L4191" s="2"/>
      <c r="M4191" s="2">
        <f t="shared" ca="1" si="225"/>
        <v>3.5287166523950531E-2</v>
      </c>
      <c r="N4191" s="2"/>
      <c r="O4191" s="2">
        <f t="shared" ca="1" si="226"/>
        <v>6.1817552771055523E-2</v>
      </c>
      <c r="P4191" s="2"/>
      <c r="Q4191" s="2">
        <f t="shared" ca="1" si="227"/>
        <v>0.52913281357037834</v>
      </c>
      <c r="R4191" s="2"/>
      <c r="S4191" s="2">
        <f t="shared" ca="1" si="228"/>
        <v>5.7244287705676081E-3</v>
      </c>
      <c r="T4191" s="2"/>
      <c r="U4191" s="2">
        <f t="shared" ca="1" si="229"/>
        <v>0.78183603208660502</v>
      </c>
      <c r="V4191" s="2"/>
      <c r="W4191" s="2">
        <f t="shared" ca="1" si="230"/>
        <v>0.24069873025311264</v>
      </c>
      <c r="X4191" s="2"/>
      <c r="Y4191" s="2">
        <f t="shared" ca="1" si="231"/>
        <v>0.5642042557265291</v>
      </c>
      <c r="Z4191" s="2"/>
      <c r="AA4191" s="2">
        <f t="shared" ca="1" si="232"/>
        <v>2.5897483089360386E-2</v>
      </c>
      <c r="AB4191" s="2"/>
      <c r="AC4191" s="2">
        <f t="shared" ca="1" si="233"/>
        <v>3.7680046542097348E-2</v>
      </c>
      <c r="AD4191" s="2"/>
      <c r="AE4191" s="2">
        <f t="shared" ca="1" si="234"/>
        <v>2.7162595052249522E-2</v>
      </c>
    </row>
    <row r="4192" spans="1:31">
      <c r="A4192" s="2"/>
      <c r="B4192" s="2"/>
      <c r="C4192" s="2"/>
      <c r="D4192" s="2">
        <v>7</v>
      </c>
      <c r="E4192" s="2" t="s">
        <v>0</v>
      </c>
      <c r="F4192" s="2">
        <f>C4166-C4158</f>
        <v>2500</v>
      </c>
      <c r="G4192" s="2">
        <f>B4166-B4158</f>
        <v>8300</v>
      </c>
      <c r="H4192" s="24">
        <f>C4166+C4158</f>
        <v>3500</v>
      </c>
      <c r="I4192" s="24">
        <f>B4166+B4158</f>
        <v>10300</v>
      </c>
      <c r="J4192" s="2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  <c r="AB4192" s="2"/>
      <c r="AC4192" s="2"/>
      <c r="AD4192" s="2"/>
      <c r="AE4192" s="2"/>
    </row>
    <row r="4196" spans="1:23">
      <c r="A4196" s="48" t="s">
        <v>383</v>
      </c>
      <c r="B4196" s="1" t="s">
        <v>784</v>
      </c>
      <c r="C4196" s="48"/>
      <c r="D4196" s="48" t="s">
        <v>449</v>
      </c>
      <c r="E4196" s="48">
        <v>52695</v>
      </c>
      <c r="F4196" s="6">
        <v>39622</v>
      </c>
      <c r="G4196" s="6">
        <v>0</v>
      </c>
      <c r="H4196" s="6">
        <v>0</v>
      </c>
      <c r="I4196" s="6">
        <v>0</v>
      </c>
      <c r="J4196" s="6">
        <v>2400</v>
      </c>
      <c r="K4196" s="6">
        <v>1500</v>
      </c>
      <c r="L4196" s="6">
        <v>384</v>
      </c>
      <c r="M4196" s="6">
        <v>0</v>
      </c>
      <c r="N4196" s="6">
        <v>0</v>
      </c>
      <c r="O4196" s="6" t="e">
        <f ca="1">checksummeint(G4196,H4196,I4196,J4196,K4196,L4196,M4196,N4196)</f>
        <v>#NAME?</v>
      </c>
      <c r="P4196" s="48"/>
      <c r="Q4196" s="48"/>
      <c r="R4196" s="49"/>
      <c r="S4196" s="49"/>
      <c r="T4196" s="49"/>
      <c r="U4196" s="49"/>
      <c r="V4196" s="48"/>
      <c r="W4196" s="48"/>
    </row>
    <row r="4197" spans="1:23">
      <c r="A4197" s="1" t="s">
        <v>645</v>
      </c>
      <c r="B4197" s="48"/>
      <c r="C4197" s="48">
        <v>0</v>
      </c>
      <c r="D4197" s="48">
        <v>28</v>
      </c>
      <c r="E4197" s="48" t="s">
        <v>12</v>
      </c>
      <c r="F4197" s="6">
        <v>72</v>
      </c>
      <c r="G4197" s="6">
        <v>0</v>
      </c>
      <c r="H4197" s="6">
        <v>0</v>
      </c>
      <c r="I4197" s="6">
        <v>0</v>
      </c>
      <c r="J4197" s="6">
        <v>400</v>
      </c>
      <c r="K4197" s="6">
        <v>0</v>
      </c>
      <c r="L4197" s="6">
        <v>0</v>
      </c>
      <c r="M4197" s="6">
        <v>0</v>
      </c>
      <c r="N4197" s="6">
        <v>0</v>
      </c>
      <c r="O4197" s="6" t="s">
        <v>19</v>
      </c>
      <c r="P4197" s="48"/>
      <c r="Q4197" s="48"/>
      <c r="R4197" s="49"/>
      <c r="S4197" s="49"/>
      <c r="T4197" s="49"/>
      <c r="U4197" s="49"/>
      <c r="V4197" s="48"/>
      <c r="W4197" s="48"/>
    </row>
    <row r="4198" spans="1:23">
      <c r="A4198" s="63" t="s">
        <v>240</v>
      </c>
      <c r="B4198" s="48"/>
      <c r="C4198" s="48">
        <v>1</v>
      </c>
      <c r="D4198" s="48">
        <v>8</v>
      </c>
      <c r="E4198" s="48" t="s">
        <v>14</v>
      </c>
      <c r="F4198" s="6">
        <v>0</v>
      </c>
      <c r="G4198" s="6">
        <v>4</v>
      </c>
      <c r="H4198" s="6">
        <v>0</v>
      </c>
      <c r="I4198" s="6">
        <v>0</v>
      </c>
      <c r="J4198" s="6">
        <v>0</v>
      </c>
      <c r="M4198" s="44"/>
      <c r="P4198" s="48"/>
      <c r="Q4198" s="48"/>
      <c r="R4198" s="49"/>
      <c r="S4198" s="49"/>
      <c r="T4198" s="49"/>
      <c r="U4198" s="49"/>
      <c r="V4198" s="48"/>
      <c r="W4198" s="48"/>
    </row>
    <row r="4199" spans="1:23">
      <c r="A4199" s="48"/>
      <c r="B4199" s="48"/>
      <c r="C4199" s="48">
        <v>2</v>
      </c>
      <c r="D4199" s="48">
        <v>7</v>
      </c>
      <c r="E4199" s="48" t="s">
        <v>11</v>
      </c>
      <c r="F4199" s="6">
        <v>0</v>
      </c>
      <c r="G4199" s="50">
        <v>0</v>
      </c>
      <c r="H4199" s="50">
        <v>0</v>
      </c>
      <c r="I4199" s="6">
        <v>0</v>
      </c>
      <c r="P4199" s="48"/>
      <c r="Q4199" s="48"/>
      <c r="R4199" s="49"/>
      <c r="S4199" s="49"/>
      <c r="T4199" s="49"/>
      <c r="U4199" s="49"/>
      <c r="V4199" s="48"/>
      <c r="W4199" s="48"/>
    </row>
    <row r="4200" spans="1:23">
      <c r="A4200" s="48"/>
      <c r="B4200" s="48"/>
      <c r="C4200" s="48">
        <v>3</v>
      </c>
      <c r="D4200" s="48">
        <v>7</v>
      </c>
      <c r="E4200" s="48" t="s">
        <v>11</v>
      </c>
      <c r="F4200" s="6">
        <v>0</v>
      </c>
      <c r="G4200" s="50">
        <v>-64</v>
      </c>
      <c r="H4200" s="50">
        <v>192</v>
      </c>
      <c r="I4200" s="6">
        <v>0</v>
      </c>
      <c r="N4200" s="50"/>
      <c r="P4200" s="48"/>
      <c r="Q4200" s="48"/>
      <c r="R4200" s="49"/>
      <c r="S4200" s="49"/>
      <c r="T4200" s="49"/>
      <c r="U4200" s="49"/>
      <c r="V4200" s="48"/>
      <c r="W4200" s="48"/>
    </row>
    <row r="4201" spans="1:23">
      <c r="A4201" s="48"/>
      <c r="B4201" s="48"/>
      <c r="C4201" s="48"/>
      <c r="D4201" s="48">
        <v>7</v>
      </c>
      <c r="E4201" s="48" t="s">
        <v>11</v>
      </c>
      <c r="F4201" s="6">
        <v>0</v>
      </c>
      <c r="G4201" s="50">
        <v>-1</v>
      </c>
      <c r="H4201" s="50">
        <v>255</v>
      </c>
      <c r="I4201" s="6">
        <v>0</v>
      </c>
      <c r="N4201" s="50"/>
      <c r="P4201" s="48"/>
      <c r="Q4201" s="48"/>
      <c r="R4201" s="49"/>
      <c r="S4201" s="49"/>
      <c r="T4201" s="49"/>
      <c r="U4201" s="49"/>
      <c r="V4201" s="48"/>
      <c r="W4201" s="48"/>
    </row>
    <row r="4202" spans="1:23">
      <c r="A4202" s="48"/>
      <c r="B4202" s="48"/>
      <c r="C4202" s="48"/>
      <c r="D4202" s="48">
        <v>8</v>
      </c>
      <c r="E4202" s="48" t="s">
        <v>14</v>
      </c>
      <c r="F4202" s="6">
        <v>5</v>
      </c>
      <c r="G4202" s="6">
        <v>4</v>
      </c>
      <c r="H4202" s="6">
        <v>0</v>
      </c>
      <c r="I4202" s="6">
        <v>0</v>
      </c>
      <c r="J4202" s="6">
        <v>0</v>
      </c>
      <c r="N4202" s="50"/>
      <c r="P4202" s="48"/>
      <c r="Q4202" s="48"/>
      <c r="R4202" s="49"/>
      <c r="S4202" s="49"/>
      <c r="T4202" s="49"/>
      <c r="U4202" s="49"/>
      <c r="V4202" s="48"/>
      <c r="W4202" s="48"/>
    </row>
    <row r="4203" spans="1:23">
      <c r="A4203" s="1"/>
      <c r="B4203" s="1"/>
      <c r="C4203" s="48"/>
      <c r="D4203" s="48">
        <v>5</v>
      </c>
      <c r="E4203" s="48" t="s">
        <v>59</v>
      </c>
      <c r="F4203" s="6">
        <v>1</v>
      </c>
      <c r="G4203" s="6">
        <v>0</v>
      </c>
      <c r="P4203" s="48"/>
      <c r="Q4203" s="48"/>
      <c r="R4203" s="49"/>
      <c r="S4203" s="49"/>
      <c r="T4203" s="49"/>
      <c r="U4203" s="49"/>
      <c r="V4203" s="49"/>
      <c r="W4203" s="49"/>
    </row>
    <row r="4204" spans="1:23">
      <c r="A4204" s="1"/>
      <c r="B4204" s="1"/>
      <c r="C4204" s="48"/>
      <c r="D4204" s="48">
        <v>4</v>
      </c>
      <c r="E4204" s="48" t="s">
        <v>15</v>
      </c>
      <c r="F4204" s="6">
        <v>0</v>
      </c>
      <c r="N4204" s="31"/>
      <c r="P4204" s="48"/>
      <c r="Q4204" s="48"/>
      <c r="R4204" s="49"/>
      <c r="S4204" s="49"/>
      <c r="T4204" s="49"/>
      <c r="U4204" s="49"/>
      <c r="V4204" s="49"/>
      <c r="W4204" s="49"/>
    </row>
    <row r="4205" spans="1:23">
      <c r="A4205" s="1"/>
      <c r="B4205" s="1"/>
      <c r="C4205" s="48"/>
      <c r="D4205" s="48">
        <v>4</v>
      </c>
      <c r="E4205" s="48" t="s">
        <v>15</v>
      </c>
      <c r="F4205" s="6">
        <v>1</v>
      </c>
      <c r="G4205" s="50"/>
      <c r="P4205" s="48"/>
      <c r="Q4205" s="48"/>
      <c r="R4205" s="50"/>
      <c r="S4205" s="50"/>
      <c r="T4205" s="50"/>
      <c r="U4205" s="50"/>
      <c r="V4205" s="49"/>
      <c r="W4205" s="49"/>
    </row>
    <row r="4206" spans="1:23">
      <c r="A4206" s="1"/>
      <c r="B4206" s="1"/>
      <c r="C4206" s="48"/>
      <c r="D4206" s="49"/>
      <c r="E4206" s="49" t="s">
        <v>113</v>
      </c>
      <c r="F4206" s="49">
        <v>40</v>
      </c>
      <c r="G4206" s="49">
        <v>150</v>
      </c>
      <c r="H4206" s="50">
        <v>400</v>
      </c>
      <c r="I4206" s="50">
        <f>G4206+900</f>
        <v>1050</v>
      </c>
      <c r="J4206" s="49">
        <f>H4206-300</f>
        <v>100</v>
      </c>
      <c r="K4206" s="49" t="s">
        <v>16</v>
      </c>
      <c r="L4206" s="49">
        <v>-1</v>
      </c>
      <c r="M4206" s="49">
        <v>0</v>
      </c>
      <c r="N4206" s="49">
        <f>COUNT(S4206:CA4206)</f>
        <v>5</v>
      </c>
      <c r="O4206" s="49">
        <v>0</v>
      </c>
      <c r="P4206" s="49">
        <v>0</v>
      </c>
      <c r="Q4206" s="49">
        <v>2</v>
      </c>
      <c r="R4206" s="49">
        <v>0</v>
      </c>
      <c r="S4206" s="48">
        <v>0</v>
      </c>
      <c r="T4206" s="48">
        <v>0</v>
      </c>
      <c r="U4206" s="48">
        <v>20</v>
      </c>
      <c r="V4206" s="49">
        <v>35.1</v>
      </c>
      <c r="W4206" s="49">
        <v>40</v>
      </c>
    </row>
    <row r="4207" spans="1:23">
      <c r="A4207" s="1"/>
      <c r="B4207" s="1"/>
      <c r="C4207" s="48"/>
      <c r="D4207" s="48"/>
      <c r="E4207" s="23" t="s">
        <v>448</v>
      </c>
      <c r="G4207" s="49"/>
      <c r="H4207" s="50"/>
      <c r="I4207" s="50"/>
      <c r="J4207" s="49"/>
      <c r="K4207" s="49" t="s">
        <v>638</v>
      </c>
      <c r="L4207" s="49">
        <f>L4206</f>
        <v>-1</v>
      </c>
      <c r="M4207" s="49"/>
      <c r="N4207" s="49"/>
      <c r="O4207" s="49"/>
      <c r="P4207" s="49"/>
      <c r="Q4207" s="49">
        <v>3</v>
      </c>
      <c r="R4207" s="49" t="s">
        <v>635</v>
      </c>
      <c r="S4207" s="6">
        <v>3.5</v>
      </c>
      <c r="T4207" s="6">
        <v>5.1710000000000003</v>
      </c>
      <c r="U4207" s="50">
        <v>4.1589999999999998</v>
      </c>
      <c r="V4207" s="50">
        <v>3.9289999999999998</v>
      </c>
      <c r="W4207" s="50">
        <v>3.9540000000000002</v>
      </c>
    </row>
    <row r="4208" spans="1:23">
      <c r="A4208" s="49"/>
      <c r="B4208" s="49"/>
      <c r="C4208" s="49"/>
      <c r="D4208" s="49"/>
      <c r="E4208" s="49" t="s">
        <v>113</v>
      </c>
      <c r="F4208" s="49">
        <v>40</v>
      </c>
      <c r="G4208" s="49">
        <f>G4206+1200</f>
        <v>1350</v>
      </c>
      <c r="H4208" s="50">
        <v>400</v>
      </c>
      <c r="I4208" s="50">
        <f>G4208+900</f>
        <v>2250</v>
      </c>
      <c r="J4208" s="49">
        <f>H4208-300</f>
        <v>100</v>
      </c>
      <c r="K4208" s="49" t="s">
        <v>16</v>
      </c>
      <c r="L4208" s="49">
        <f t="shared" ref="L4208:L4217" si="235">L4207</f>
        <v>-1</v>
      </c>
      <c r="M4208" s="49"/>
      <c r="N4208" s="49">
        <f>COUNT(S4208:CA4208)</f>
        <v>5</v>
      </c>
      <c r="O4208" s="49"/>
      <c r="P4208" s="49"/>
      <c r="Q4208" s="49">
        <v>2</v>
      </c>
      <c r="R4208" s="49"/>
      <c r="S4208" s="48">
        <v>0</v>
      </c>
      <c r="T4208" s="49">
        <v>0</v>
      </c>
      <c r="U4208" s="49">
        <v>20</v>
      </c>
      <c r="V4208" s="49">
        <v>25.7</v>
      </c>
      <c r="W4208" s="49">
        <v>40</v>
      </c>
    </row>
    <row r="4209" spans="1:23">
      <c r="A4209" s="49"/>
      <c r="B4209" s="49"/>
      <c r="C4209" s="49"/>
      <c r="D4209" s="48"/>
      <c r="E4209" s="23" t="s">
        <v>448</v>
      </c>
      <c r="G4209" s="49"/>
      <c r="H4209" s="50"/>
      <c r="I4209" s="50"/>
      <c r="J4209" s="49"/>
      <c r="K4209" s="49" t="s">
        <v>639</v>
      </c>
      <c r="L4209" s="49">
        <f t="shared" si="235"/>
        <v>-1</v>
      </c>
      <c r="M4209" s="49"/>
      <c r="N4209" s="49"/>
      <c r="O4209" s="49"/>
      <c r="P4209" s="49"/>
      <c r="Q4209" s="49">
        <v>3</v>
      </c>
      <c r="R4209" s="49" t="s">
        <v>636</v>
      </c>
      <c r="S4209" s="6">
        <v>3.5</v>
      </c>
      <c r="T4209" s="49">
        <v>4.5359999999999996</v>
      </c>
      <c r="U4209" s="49">
        <v>3.7263600000000001</v>
      </c>
      <c r="V4209" s="49">
        <v>3.6854550000000001</v>
      </c>
      <c r="W4209" s="49">
        <v>3.9535199999999997</v>
      </c>
    </row>
    <row r="4210" spans="1:23">
      <c r="A4210" s="49"/>
      <c r="B4210" s="49"/>
      <c r="C4210" s="49"/>
      <c r="D4210" s="49"/>
      <c r="E4210" s="49" t="s">
        <v>113</v>
      </c>
      <c r="F4210" s="49">
        <v>40</v>
      </c>
      <c r="G4210" s="49">
        <v>150</v>
      </c>
      <c r="H4210" s="50">
        <f>H4206+500</f>
        <v>900</v>
      </c>
      <c r="I4210" s="50">
        <f>G4210+900</f>
        <v>1050</v>
      </c>
      <c r="J4210" s="49">
        <f>H4210-300</f>
        <v>600</v>
      </c>
      <c r="K4210" s="49" t="s">
        <v>16</v>
      </c>
      <c r="L4210" s="49">
        <f t="shared" si="235"/>
        <v>-1</v>
      </c>
      <c r="M4210" s="49"/>
      <c r="N4210" s="49">
        <f>COUNT(S4210:CA4210)</f>
        <v>4</v>
      </c>
      <c r="O4210" s="49"/>
      <c r="P4210" s="49"/>
      <c r="Q4210" s="49">
        <v>2</v>
      </c>
      <c r="R4210" s="49"/>
      <c r="S4210" s="48">
        <v>0</v>
      </c>
      <c r="T4210" s="49">
        <v>0</v>
      </c>
      <c r="U4210" s="49">
        <v>20</v>
      </c>
      <c r="V4210" s="49">
        <v>40</v>
      </c>
      <c r="W4210" s="49"/>
    </row>
    <row r="4211" spans="1:23">
      <c r="A4211" s="49"/>
      <c r="B4211" s="49"/>
      <c r="C4211" s="49"/>
      <c r="D4211" s="48"/>
      <c r="E4211" s="23" t="s">
        <v>448</v>
      </c>
      <c r="G4211" s="49"/>
      <c r="H4211" s="50"/>
      <c r="I4211" s="50"/>
      <c r="J4211" s="49"/>
      <c r="K4211" s="49" t="s">
        <v>640</v>
      </c>
      <c r="L4211" s="49">
        <f t="shared" si="235"/>
        <v>-1</v>
      </c>
      <c r="M4211" s="49"/>
      <c r="N4211" s="49"/>
      <c r="O4211" s="49"/>
      <c r="P4211" s="49"/>
      <c r="Q4211" s="49">
        <v>3</v>
      </c>
      <c r="R4211" s="49"/>
      <c r="S4211" s="6">
        <v>4.3</v>
      </c>
      <c r="T4211" s="49">
        <v>4.5359999999999996</v>
      </c>
      <c r="U4211" s="49">
        <v>4.7362789999999997</v>
      </c>
      <c r="V4211" s="49">
        <v>5.1708800000000004</v>
      </c>
      <c r="W4211" s="49"/>
    </row>
    <row r="4212" spans="1:23">
      <c r="A4212" s="49"/>
      <c r="B4212" s="49"/>
      <c r="C4212" s="49"/>
      <c r="D4212" s="49"/>
      <c r="E4212" s="49" t="s">
        <v>113</v>
      </c>
      <c r="F4212" s="49">
        <v>40</v>
      </c>
      <c r="G4212" s="49">
        <f>G4210+1200</f>
        <v>1350</v>
      </c>
      <c r="H4212" s="50">
        <f>H4208+500</f>
        <v>900</v>
      </c>
      <c r="I4212" s="50">
        <f>G4212+900</f>
        <v>2250</v>
      </c>
      <c r="J4212" s="49">
        <f>H4212-300</f>
        <v>600</v>
      </c>
      <c r="K4212" s="49" t="s">
        <v>16</v>
      </c>
      <c r="L4212" s="49">
        <f t="shared" si="235"/>
        <v>-1</v>
      </c>
      <c r="M4212" s="49"/>
      <c r="N4212" s="49">
        <f>COUNT(S4212:CA4212)</f>
        <v>5</v>
      </c>
      <c r="O4212" s="49"/>
      <c r="P4212" s="49"/>
      <c r="Q4212" s="49">
        <v>2</v>
      </c>
      <c r="R4212" s="49"/>
      <c r="S4212" s="48">
        <v>0</v>
      </c>
      <c r="T4212" s="49">
        <v>0</v>
      </c>
      <c r="U4212" s="49">
        <v>20</v>
      </c>
      <c r="V4212" s="49">
        <v>26.1</v>
      </c>
      <c r="W4212" s="49">
        <v>40</v>
      </c>
    </row>
    <row r="4213" spans="1:23">
      <c r="A4213" s="49"/>
      <c r="B4213" s="49"/>
      <c r="C4213" s="49"/>
      <c r="D4213" s="48"/>
      <c r="E4213" s="23" t="s">
        <v>448</v>
      </c>
      <c r="G4213" s="49"/>
      <c r="H4213" s="50"/>
      <c r="I4213" s="50"/>
      <c r="J4213" s="49"/>
      <c r="K4213" s="49" t="s">
        <v>641</v>
      </c>
      <c r="L4213" s="49">
        <f t="shared" si="235"/>
        <v>-1</v>
      </c>
      <c r="M4213" s="49"/>
      <c r="N4213" s="49"/>
      <c r="O4213" s="49"/>
      <c r="P4213" s="49"/>
      <c r="Q4213" s="49">
        <v>3</v>
      </c>
      <c r="R4213" s="49" t="s">
        <v>637</v>
      </c>
      <c r="S4213" s="6">
        <v>2</v>
      </c>
      <c r="T4213" s="49">
        <v>3.9535199999999997</v>
      </c>
      <c r="U4213" s="49">
        <v>2.444604</v>
      </c>
      <c r="V4213" s="49">
        <v>2.3584450000000001</v>
      </c>
      <c r="W4213" s="49">
        <v>2.8152960000000005</v>
      </c>
    </row>
    <row r="4214" spans="1:23">
      <c r="A4214" s="49"/>
      <c r="B4214" s="49"/>
      <c r="C4214" s="49"/>
      <c r="D4214" s="49"/>
      <c r="E4214" s="49" t="s">
        <v>113</v>
      </c>
      <c r="F4214" s="49">
        <v>40</v>
      </c>
      <c r="G4214" s="49">
        <v>150</v>
      </c>
      <c r="H4214" s="50">
        <f>H4210+500</f>
        <v>1400</v>
      </c>
      <c r="I4214" s="50">
        <f>G4214+900</f>
        <v>1050</v>
      </c>
      <c r="J4214" s="49">
        <f>H4214-300</f>
        <v>1100</v>
      </c>
      <c r="K4214" s="49" t="s">
        <v>16</v>
      </c>
      <c r="L4214" s="49">
        <f t="shared" si="235"/>
        <v>-1</v>
      </c>
      <c r="M4214" s="49"/>
      <c r="N4214" s="49">
        <f>COUNT(S4214:CA4214)</f>
        <v>5</v>
      </c>
      <c r="O4214" s="49"/>
      <c r="P4214" s="49"/>
      <c r="Q4214" s="49">
        <v>2</v>
      </c>
      <c r="R4214" s="49"/>
      <c r="S4214" s="48">
        <v>0</v>
      </c>
      <c r="T4214" s="49">
        <v>0</v>
      </c>
      <c r="U4214" s="49">
        <v>20</v>
      </c>
      <c r="V4214" s="49">
        <v>35.6</v>
      </c>
      <c r="W4214" s="49">
        <v>40</v>
      </c>
    </row>
    <row r="4215" spans="1:23">
      <c r="A4215" s="49"/>
      <c r="B4215" s="49"/>
      <c r="C4215" s="49"/>
      <c r="D4215" s="48"/>
      <c r="E4215" s="23" t="s">
        <v>448</v>
      </c>
      <c r="G4215" s="49"/>
      <c r="H4215" s="50"/>
      <c r="I4215" s="50"/>
      <c r="J4215" s="49"/>
      <c r="K4215" s="49" t="s">
        <v>642</v>
      </c>
      <c r="L4215" s="49">
        <f t="shared" si="235"/>
        <v>-1</v>
      </c>
      <c r="M4215" s="49"/>
      <c r="N4215" s="49"/>
      <c r="O4215" s="49"/>
      <c r="P4215" s="49"/>
      <c r="Q4215" s="49">
        <v>3</v>
      </c>
      <c r="R4215" s="49" t="s">
        <v>637</v>
      </c>
      <c r="S4215" s="6">
        <v>2.4</v>
      </c>
      <c r="T4215" s="49">
        <v>5.1708800000000004</v>
      </c>
      <c r="U4215" s="49">
        <v>3.239544</v>
      </c>
      <c r="V4215" s="49">
        <v>2.7793209999999999</v>
      </c>
      <c r="W4215" s="49">
        <v>2.8152960000000005</v>
      </c>
    </row>
    <row r="4216" spans="1:23">
      <c r="A4216" s="49"/>
      <c r="B4216" s="49"/>
      <c r="C4216" s="49"/>
      <c r="D4216" s="49"/>
      <c r="E4216" s="49" t="s">
        <v>113</v>
      </c>
      <c r="F4216" s="49">
        <v>40</v>
      </c>
      <c r="G4216" s="49">
        <f>G4214+1200</f>
        <v>1350</v>
      </c>
      <c r="H4216" s="50">
        <f>H4212+500</f>
        <v>1400</v>
      </c>
      <c r="I4216" s="50">
        <f>G4216+900</f>
        <v>2250</v>
      </c>
      <c r="J4216" s="49">
        <f>H4216-300</f>
        <v>1100</v>
      </c>
      <c r="K4216" s="49" t="s">
        <v>16</v>
      </c>
      <c r="L4216" s="49">
        <f t="shared" si="235"/>
        <v>-1</v>
      </c>
      <c r="M4216" s="49"/>
      <c r="N4216" s="49">
        <f>COUNT(S4216:CA4216)</f>
        <v>4</v>
      </c>
      <c r="O4216" s="49"/>
      <c r="P4216" s="49"/>
      <c r="Q4216" s="49">
        <v>2</v>
      </c>
      <c r="R4216" s="49"/>
      <c r="S4216" s="48">
        <v>0</v>
      </c>
      <c r="T4216" s="49">
        <v>0</v>
      </c>
      <c r="U4216" s="49">
        <v>20</v>
      </c>
      <c r="V4216" s="49">
        <v>40</v>
      </c>
      <c r="W4216" s="49"/>
    </row>
    <row r="4217" spans="1:23">
      <c r="A4217" s="49"/>
      <c r="B4217" s="49"/>
      <c r="C4217" s="49"/>
      <c r="D4217" s="48">
        <v>4</v>
      </c>
      <c r="E4217" s="48" t="s">
        <v>15</v>
      </c>
      <c r="F4217" s="6">
        <v>4</v>
      </c>
      <c r="G4217" s="49"/>
      <c r="H4217" s="50"/>
      <c r="I4217" s="50"/>
      <c r="J4217" s="49"/>
      <c r="K4217" s="49" t="s">
        <v>643</v>
      </c>
      <c r="L4217" s="49">
        <f t="shared" si="235"/>
        <v>-1</v>
      </c>
      <c r="M4217" s="49"/>
      <c r="N4217" s="49"/>
      <c r="O4217" s="49"/>
      <c r="P4217" s="49"/>
      <c r="Q4217" s="49">
        <v>3</v>
      </c>
      <c r="R4217" s="49"/>
      <c r="S4217" s="6">
        <v>2.4</v>
      </c>
      <c r="T4217" s="49">
        <v>4.5359999999999996</v>
      </c>
      <c r="U4217" s="49">
        <v>3.3778239999999999</v>
      </c>
      <c r="V4217" s="49">
        <v>2.8152960000000005</v>
      </c>
      <c r="W4217" s="49"/>
    </row>
    <row r="4218" spans="1:23">
      <c r="A4218" s="49"/>
      <c r="B4218" s="49"/>
      <c r="C4218" s="49"/>
      <c r="D4218" s="48">
        <v>4</v>
      </c>
      <c r="E4218" s="48" t="s">
        <v>15</v>
      </c>
      <c r="F4218" s="6">
        <v>5</v>
      </c>
      <c r="G4218" s="49"/>
      <c r="H4218" s="49"/>
      <c r="I4218" s="49"/>
      <c r="J4218" s="49"/>
      <c r="K4218" s="49"/>
      <c r="L4218" s="49"/>
      <c r="M4218" s="49"/>
      <c r="N4218" s="49"/>
      <c r="O4218" s="49"/>
      <c r="P4218" s="49"/>
      <c r="Q4218" s="49"/>
      <c r="R4218" s="49"/>
      <c r="S4218" s="49"/>
      <c r="T4218" s="49"/>
      <c r="U4218" s="49"/>
      <c r="V4218" s="49"/>
      <c r="W4218" s="49"/>
    </row>
    <row r="4219" spans="1:23">
      <c r="A4219" s="49"/>
      <c r="B4219" s="49"/>
      <c r="C4219" s="49"/>
      <c r="D4219" s="13">
        <v>11</v>
      </c>
      <c r="E4219" s="48" t="s">
        <v>99</v>
      </c>
      <c r="F4219" s="49">
        <f t="shared" ref="F4219:M4224" si="236">F4226</f>
        <v>318</v>
      </c>
      <c r="G4219" s="49">
        <f t="shared" si="236"/>
        <v>1050</v>
      </c>
      <c r="H4219" s="49">
        <f t="shared" si="236"/>
        <v>100</v>
      </c>
      <c r="I4219" s="49">
        <f t="shared" si="236"/>
        <v>150</v>
      </c>
      <c r="J4219" s="49">
        <f t="shared" si="236"/>
        <v>-2576.0104323852438</v>
      </c>
      <c r="K4219" s="49">
        <f t="shared" si="236"/>
        <v>-526.34913608894783</v>
      </c>
      <c r="L4219" s="49">
        <f t="shared" si="236"/>
        <v>323.53607341088514</v>
      </c>
      <c r="M4219" s="49">
        <f t="shared" si="236"/>
        <v>2373.1973697071812</v>
      </c>
      <c r="N4219" s="49"/>
      <c r="O4219" s="49"/>
      <c r="P4219" s="49"/>
      <c r="Q4219" s="49"/>
      <c r="R4219" s="49"/>
      <c r="S4219" s="49"/>
      <c r="T4219" s="49"/>
      <c r="U4219" s="49"/>
      <c r="V4219" s="49"/>
      <c r="W4219" s="49"/>
    </row>
    <row r="4220" spans="1:23">
      <c r="A4220" s="49"/>
      <c r="B4220" s="49"/>
      <c r="C4220" s="49"/>
      <c r="D4220" s="13">
        <f>D4219</f>
        <v>11</v>
      </c>
      <c r="E4220" s="48" t="str">
        <f>E4219</f>
        <v>Chord</v>
      </c>
      <c r="F4220" s="49">
        <f t="shared" si="236"/>
        <v>269</v>
      </c>
      <c r="G4220" s="49">
        <f t="shared" si="236"/>
        <v>2250</v>
      </c>
      <c r="H4220" s="49">
        <f t="shared" si="236"/>
        <v>100</v>
      </c>
      <c r="I4220" s="49">
        <f t="shared" si="236"/>
        <v>1350</v>
      </c>
      <c r="J4220" s="49">
        <f t="shared" si="236"/>
        <v>-1180.7805680581284</v>
      </c>
      <c r="K4220" s="49">
        <f t="shared" si="236"/>
        <v>1148.808356789049</v>
      </c>
      <c r="L4220" s="49">
        <f t="shared" si="236"/>
        <v>347.38574605165587</v>
      </c>
      <c r="M4220" s="49">
        <f t="shared" si="236"/>
        <v>2676.9746708988332</v>
      </c>
      <c r="N4220" s="49"/>
      <c r="O4220" s="49"/>
      <c r="P4220" s="49"/>
      <c r="Q4220" s="49"/>
      <c r="R4220" s="49"/>
      <c r="S4220" s="49"/>
      <c r="T4220" s="49"/>
      <c r="U4220" s="49"/>
      <c r="V4220" s="49"/>
      <c r="W4220" s="49"/>
    </row>
    <row r="4221" spans="1:23">
      <c r="A4221" s="49"/>
      <c r="B4221" s="49"/>
      <c r="C4221" s="49"/>
      <c r="D4221" s="13">
        <f t="shared" ref="D4221:E4224" si="237">D4220</f>
        <v>11</v>
      </c>
      <c r="E4221" s="48" t="str">
        <f t="shared" si="237"/>
        <v>Chord</v>
      </c>
      <c r="F4221" s="49">
        <f t="shared" si="236"/>
        <v>600</v>
      </c>
      <c r="G4221" s="49">
        <f t="shared" si="236"/>
        <v>1050</v>
      </c>
      <c r="H4221" s="49">
        <f t="shared" si="236"/>
        <v>819</v>
      </c>
      <c r="I4221" s="49">
        <f t="shared" si="236"/>
        <v>150</v>
      </c>
      <c r="J4221" s="49">
        <f t="shared" si="236"/>
        <v>-4071.4190879354505</v>
      </c>
      <c r="K4221" s="49">
        <f t="shared" si="236"/>
        <v>-2414.64289745926</v>
      </c>
      <c r="L4221" s="49">
        <f t="shared" si="236"/>
        <v>821.84765936402209</v>
      </c>
      <c r="M4221" s="49">
        <f t="shared" si="236"/>
        <v>2478.6238498402126</v>
      </c>
      <c r="N4221" s="49"/>
      <c r="O4221" s="49"/>
      <c r="P4221" s="49"/>
      <c r="Q4221" s="49"/>
      <c r="R4221" s="49"/>
      <c r="S4221" s="49"/>
      <c r="T4221" s="49"/>
      <c r="U4221" s="49"/>
      <c r="V4221" s="49"/>
      <c r="W4221" s="49"/>
    </row>
    <row r="4222" spans="1:23">
      <c r="A4222" s="49"/>
      <c r="B4222" s="49"/>
      <c r="C4222" s="49"/>
      <c r="D4222" s="13">
        <f t="shared" si="237"/>
        <v>11</v>
      </c>
      <c r="E4222" s="48" t="str">
        <f t="shared" si="237"/>
        <v>Chord</v>
      </c>
      <c r="F4222" s="49">
        <f t="shared" si="236"/>
        <v>775</v>
      </c>
      <c r="G4222" s="49">
        <f t="shared" si="236"/>
        <v>2250</v>
      </c>
      <c r="H4222" s="49">
        <f t="shared" si="236"/>
        <v>600</v>
      </c>
      <c r="I4222" s="49">
        <f t="shared" si="236"/>
        <v>1350</v>
      </c>
      <c r="J4222" s="49">
        <f t="shared" si="236"/>
        <v>-727.76021052634928</v>
      </c>
      <c r="K4222" s="49">
        <f t="shared" si="236"/>
        <v>1134.9867236988457</v>
      </c>
      <c r="L4222" s="49">
        <f t="shared" si="236"/>
        <v>846.53278577718538</v>
      </c>
      <c r="M4222" s="49">
        <f t="shared" si="236"/>
        <v>2709.2797200023801</v>
      </c>
      <c r="N4222" s="49"/>
      <c r="O4222" s="49"/>
      <c r="P4222" s="49"/>
      <c r="Q4222" s="49"/>
      <c r="R4222" s="49"/>
      <c r="S4222" s="49"/>
      <c r="T4222" s="49"/>
      <c r="U4222" s="49"/>
      <c r="V4222" s="49"/>
      <c r="W4222" s="49"/>
    </row>
    <row r="4223" spans="1:23">
      <c r="A4223" s="49"/>
      <c r="B4223" s="49"/>
      <c r="C4223" s="49"/>
      <c r="D4223" s="13">
        <f t="shared" si="237"/>
        <v>11</v>
      </c>
      <c r="E4223" s="48" t="str">
        <f t="shared" si="237"/>
        <v>Chord</v>
      </c>
      <c r="F4223" s="49">
        <f t="shared" si="236"/>
        <v>1355</v>
      </c>
      <c r="G4223" s="49">
        <f t="shared" si="236"/>
        <v>1050</v>
      </c>
      <c r="H4223" s="49">
        <f t="shared" si="236"/>
        <v>1100</v>
      </c>
      <c r="I4223" s="49">
        <f t="shared" si="236"/>
        <v>150</v>
      </c>
      <c r="J4223" s="49">
        <f t="shared" si="236"/>
        <v>-1346.4764048273969</v>
      </c>
      <c r="K4223" s="49">
        <f t="shared" si="236"/>
        <v>-406.72226224550877</v>
      </c>
      <c r="L4223" s="49">
        <f t="shared" si="236"/>
        <v>1359.0024163880908</v>
      </c>
      <c r="M4223" s="49">
        <f t="shared" si="236"/>
        <v>2298.7565589699789</v>
      </c>
      <c r="N4223" s="49"/>
      <c r="O4223" s="49"/>
      <c r="P4223" s="49"/>
      <c r="Q4223" s="49"/>
      <c r="R4223" s="49"/>
      <c r="S4223" s="49"/>
      <c r="T4223" s="49"/>
      <c r="U4223" s="49"/>
      <c r="V4223" s="49"/>
      <c r="W4223" s="49"/>
    </row>
    <row r="4224" spans="1:23">
      <c r="A4224" s="49"/>
      <c r="B4224" s="7"/>
      <c r="C4224" s="49"/>
      <c r="D4224" s="13">
        <f t="shared" si="237"/>
        <v>11</v>
      </c>
      <c r="E4224" s="48" t="str">
        <f t="shared" si="237"/>
        <v>Chord</v>
      </c>
      <c r="F4224" s="49">
        <f t="shared" si="236"/>
        <v>1342</v>
      </c>
      <c r="G4224" s="49">
        <f t="shared" si="236"/>
        <v>2250</v>
      </c>
      <c r="H4224" s="49">
        <f t="shared" si="236"/>
        <v>1100</v>
      </c>
      <c r="I4224" s="49">
        <f t="shared" si="236"/>
        <v>1350</v>
      </c>
      <c r="J4224" s="49">
        <f t="shared" si="236"/>
        <v>-3478.6563482650936</v>
      </c>
      <c r="K4224" s="49">
        <f t="shared" si="236"/>
        <v>1.6715949973176976</v>
      </c>
      <c r="L4224" s="49">
        <f t="shared" si="236"/>
        <v>1347.6350716693487</v>
      </c>
      <c r="M4224" s="49">
        <f t="shared" si="236"/>
        <v>4827.96301493176</v>
      </c>
      <c r="N4224" s="49"/>
      <c r="O4224" s="49"/>
      <c r="P4224" s="49"/>
      <c r="Q4224" s="49"/>
      <c r="R4224" s="49"/>
      <c r="S4224" s="49"/>
      <c r="T4224" s="49"/>
      <c r="U4224" s="49"/>
      <c r="V4224" s="49"/>
      <c r="W4224" s="49"/>
    </row>
    <row r="4225" spans="1:23">
      <c r="A4225" s="49"/>
      <c r="B4225" s="49"/>
      <c r="C4225" s="49"/>
      <c r="D4225" s="49">
        <v>4</v>
      </c>
      <c r="E4225" s="49" t="s">
        <v>15</v>
      </c>
      <c r="F4225" s="49">
        <v>1</v>
      </c>
      <c r="G4225" s="49"/>
      <c r="H4225" s="49"/>
      <c r="I4225" s="49"/>
      <c r="J4225" s="49"/>
      <c r="K4225" s="49"/>
      <c r="L4225" s="49"/>
      <c r="M4225" s="49"/>
      <c r="N4225" s="49"/>
      <c r="O4225" s="49"/>
      <c r="P4225" s="49"/>
      <c r="Q4225" s="49"/>
      <c r="R4225" s="49"/>
      <c r="S4225" s="49"/>
      <c r="T4225" s="49"/>
      <c r="U4225" s="49"/>
      <c r="V4225" s="49"/>
      <c r="W4225" s="49"/>
    </row>
    <row r="4226" spans="1:23">
      <c r="A4226" s="13">
        <f t="shared" ref="A4226:A4231" si="238">((O4226^2-G4226^2+N4226^2-F4226^2)*(I4226-G4226)-(I4226^2-G4226^2+H4226^2-F4226^2)*(O4226-G4226))/(2*((N4226-F4226)*(I4226-G4226)-(H4226-F4226)*(O4226-G4226)))</f>
        <v>-1126.2371794871794</v>
      </c>
      <c r="B4226" s="14">
        <f t="shared" ref="B4226:B4231" si="239">(I4226^2-G4226^2+H4226^2-F4226^2-2*A4226*(H4226-F4226))/(2*(I4226-G4226))</f>
        <v>923.42411680911675</v>
      </c>
      <c r="C4226" s="13">
        <f t="shared" ref="C4226:C4231" si="240">SQRT((F4226-A4226)^2+(G4226-B4226)^2)</f>
        <v>1449.7732528980646</v>
      </c>
      <c r="D4226" s="13">
        <v>11</v>
      </c>
      <c r="E4226" s="13" t="s">
        <v>98</v>
      </c>
      <c r="F4226" s="28">
        <f t="shared" ref="F4226:F4231" si="241">L4233</f>
        <v>318</v>
      </c>
      <c r="G4226" s="28">
        <f t="shared" ref="G4226:G4231" si="242">K4233</f>
        <v>1050</v>
      </c>
      <c r="H4226" s="28">
        <f t="shared" ref="H4226:H4231" si="243">H4233</f>
        <v>100</v>
      </c>
      <c r="I4226" s="28">
        <f t="shared" ref="I4226:I4231" si="244">G4233</f>
        <v>150</v>
      </c>
      <c r="J4226" s="13">
        <f t="shared" ref="J4226:J4231" si="245">A4226-C4226</f>
        <v>-2576.0104323852438</v>
      </c>
      <c r="K4226" s="13">
        <f t="shared" ref="K4226:K4231" si="246">B4226-C4226</f>
        <v>-526.34913608894783</v>
      </c>
      <c r="L4226" s="13">
        <f t="shared" ref="L4226:L4231" si="247">A4226+C4226</f>
        <v>323.53607341088514</v>
      </c>
      <c r="M4226" s="13">
        <f t="shared" ref="M4226:M4231" si="248">B4226+C4226</f>
        <v>2373.1973697071812</v>
      </c>
      <c r="N4226" s="15">
        <f t="shared" ref="N4226:N4231" si="249">J4233</f>
        <v>287</v>
      </c>
      <c r="O4226" s="15">
        <f t="shared" ref="O4226:O4231" si="250">I4233</f>
        <v>600</v>
      </c>
      <c r="P4226" s="49"/>
      <c r="Q4226" s="49"/>
      <c r="R4226" s="49"/>
      <c r="S4226" s="49"/>
      <c r="T4226" s="49"/>
      <c r="U4226" s="49"/>
      <c r="V4226" s="49"/>
      <c r="W4226" s="49"/>
    </row>
    <row r="4227" spans="1:23">
      <c r="A4227" s="13">
        <f t="shared" si="238"/>
        <v>-416.69741100323625</v>
      </c>
      <c r="B4227" s="14">
        <f t="shared" si="239"/>
        <v>1912.8915138439411</v>
      </c>
      <c r="C4227" s="13">
        <f t="shared" si="240"/>
        <v>764.08315705489213</v>
      </c>
      <c r="D4227" s="13">
        <f>D4226</f>
        <v>11</v>
      </c>
      <c r="E4227" s="13" t="s">
        <v>98</v>
      </c>
      <c r="F4227" s="28">
        <f t="shared" si="241"/>
        <v>269</v>
      </c>
      <c r="G4227" s="28">
        <f t="shared" si="242"/>
        <v>2250</v>
      </c>
      <c r="H4227" s="28">
        <f t="shared" si="243"/>
        <v>100</v>
      </c>
      <c r="I4227" s="28">
        <f t="shared" si="244"/>
        <v>1350</v>
      </c>
      <c r="J4227" s="13">
        <f t="shared" si="245"/>
        <v>-1180.7805680581284</v>
      </c>
      <c r="K4227" s="13">
        <f t="shared" si="246"/>
        <v>1148.808356789049</v>
      </c>
      <c r="L4227" s="13">
        <f t="shared" si="247"/>
        <v>347.38574605165587</v>
      </c>
      <c r="M4227" s="13">
        <f t="shared" si="248"/>
        <v>2676.9746708988332</v>
      </c>
      <c r="N4227" s="15">
        <f t="shared" si="249"/>
        <v>339</v>
      </c>
      <c r="O4227" s="15">
        <f t="shared" si="250"/>
        <v>1800</v>
      </c>
      <c r="P4227" s="49"/>
      <c r="Q4227" s="49"/>
      <c r="R4227" s="49"/>
      <c r="S4227" s="49"/>
      <c r="T4227" s="49"/>
      <c r="U4227" s="49"/>
      <c r="V4227" s="49"/>
      <c r="W4227" s="49"/>
    </row>
    <row r="4228" spans="1:23">
      <c r="A4228" s="13">
        <f t="shared" si="238"/>
        <v>-1624.7857142857142</v>
      </c>
      <c r="B4228" s="14">
        <f t="shared" si="239"/>
        <v>31.990476190476201</v>
      </c>
      <c r="C4228" s="13">
        <f t="shared" si="240"/>
        <v>2446.6333736497363</v>
      </c>
      <c r="D4228" s="13">
        <f>D4227</f>
        <v>11</v>
      </c>
      <c r="E4228" s="13" t="s">
        <v>98</v>
      </c>
      <c r="F4228" s="28">
        <f t="shared" si="241"/>
        <v>600</v>
      </c>
      <c r="G4228" s="28">
        <f t="shared" si="242"/>
        <v>1050</v>
      </c>
      <c r="H4228" s="28">
        <f t="shared" si="243"/>
        <v>819</v>
      </c>
      <c r="I4228" s="28">
        <f t="shared" si="244"/>
        <v>150</v>
      </c>
      <c r="J4228" s="13">
        <f t="shared" si="245"/>
        <v>-4071.4190879354505</v>
      </c>
      <c r="K4228" s="13">
        <f t="shared" si="246"/>
        <v>-2414.64289745926</v>
      </c>
      <c r="L4228" s="13">
        <f t="shared" si="247"/>
        <v>821.84765936402209</v>
      </c>
      <c r="M4228" s="13">
        <f t="shared" si="248"/>
        <v>2478.6238498402126</v>
      </c>
      <c r="N4228" s="15">
        <f t="shared" si="249"/>
        <v>755</v>
      </c>
      <c r="O4228" s="15">
        <f t="shared" si="250"/>
        <v>600</v>
      </c>
      <c r="P4228" s="49"/>
      <c r="Q4228" s="49"/>
      <c r="R4228" s="49"/>
      <c r="S4228" s="49"/>
      <c r="T4228" s="49"/>
      <c r="U4228" s="49"/>
      <c r="V4228" s="49"/>
      <c r="W4228" s="49"/>
    </row>
    <row r="4229" spans="1:23">
      <c r="A4229" s="13">
        <f t="shared" si="238"/>
        <v>59.386287625418063</v>
      </c>
      <c r="B4229" s="14">
        <f t="shared" si="239"/>
        <v>1922.1332218506129</v>
      </c>
      <c r="C4229" s="13">
        <f t="shared" si="240"/>
        <v>787.14649815176733</v>
      </c>
      <c r="D4229" s="13">
        <f>D4228</f>
        <v>11</v>
      </c>
      <c r="E4229" s="13" t="s">
        <v>98</v>
      </c>
      <c r="F4229" s="28">
        <f t="shared" si="241"/>
        <v>775</v>
      </c>
      <c r="G4229" s="28">
        <f t="shared" si="242"/>
        <v>2250</v>
      </c>
      <c r="H4229" s="28">
        <f t="shared" si="243"/>
        <v>600</v>
      </c>
      <c r="I4229" s="28">
        <f t="shared" si="244"/>
        <v>1350</v>
      </c>
      <c r="J4229" s="13">
        <f t="shared" si="245"/>
        <v>-727.76021052634928</v>
      </c>
      <c r="K4229" s="13">
        <f t="shared" si="246"/>
        <v>1134.9867236988457</v>
      </c>
      <c r="L4229" s="13">
        <f t="shared" si="247"/>
        <v>846.53278577718538</v>
      </c>
      <c r="M4229" s="13">
        <f t="shared" si="248"/>
        <v>2709.2797200023801</v>
      </c>
      <c r="N4229" s="15">
        <f t="shared" si="249"/>
        <v>837</v>
      </c>
      <c r="O4229" s="15">
        <f t="shared" si="250"/>
        <v>1800</v>
      </c>
      <c r="P4229" s="49"/>
      <c r="Q4229" s="49"/>
      <c r="R4229" s="49"/>
      <c r="S4229" s="49"/>
      <c r="T4229" s="49"/>
      <c r="U4229" s="49"/>
      <c r="V4229" s="49"/>
      <c r="W4229" s="49"/>
    </row>
    <row r="4230" spans="1:23">
      <c r="A4230" s="13">
        <f t="shared" si="238"/>
        <v>6.2630057803468207</v>
      </c>
      <c r="B4230" s="14">
        <f t="shared" si="239"/>
        <v>946.01714836223505</v>
      </c>
      <c r="C4230" s="13">
        <f t="shared" si="240"/>
        <v>1352.7394106077438</v>
      </c>
      <c r="D4230" s="13">
        <f>D4229</f>
        <v>11</v>
      </c>
      <c r="E4230" s="13" t="s">
        <v>98</v>
      </c>
      <c r="F4230" s="28">
        <f t="shared" si="241"/>
        <v>1355</v>
      </c>
      <c r="G4230" s="28">
        <f t="shared" si="242"/>
        <v>1050</v>
      </c>
      <c r="H4230" s="28">
        <f t="shared" si="243"/>
        <v>1100</v>
      </c>
      <c r="I4230" s="28">
        <f t="shared" si="244"/>
        <v>150</v>
      </c>
      <c r="J4230" s="13">
        <f t="shared" si="245"/>
        <v>-1346.4764048273969</v>
      </c>
      <c r="K4230" s="13">
        <f t="shared" si="246"/>
        <v>-406.72226224550877</v>
      </c>
      <c r="L4230" s="13">
        <f t="shared" si="247"/>
        <v>1359.0024163880908</v>
      </c>
      <c r="M4230" s="13">
        <f t="shared" si="248"/>
        <v>2298.7565589699789</v>
      </c>
      <c r="N4230" s="15">
        <f t="shared" si="249"/>
        <v>1314</v>
      </c>
      <c r="O4230" s="15">
        <f t="shared" si="250"/>
        <v>600</v>
      </c>
      <c r="P4230" s="49"/>
      <c r="Q4230" s="49"/>
      <c r="R4230" s="49"/>
      <c r="S4230" s="49"/>
      <c r="T4230" s="49"/>
      <c r="U4230" s="49"/>
      <c r="V4230" s="49"/>
      <c r="W4230" s="49"/>
    </row>
    <row r="4231" spans="1:23">
      <c r="A4231" s="13">
        <f t="shared" si="238"/>
        <v>-1065.5106382978724</v>
      </c>
      <c r="B4231" s="14">
        <f t="shared" si="239"/>
        <v>2414.8173049645388</v>
      </c>
      <c r="C4231" s="13">
        <f t="shared" si="240"/>
        <v>2413.1457099672211</v>
      </c>
      <c r="D4231" s="13">
        <f>D4230</f>
        <v>11</v>
      </c>
      <c r="E4231" s="13" t="s">
        <v>98</v>
      </c>
      <c r="F4231" s="28">
        <f t="shared" si="241"/>
        <v>1342</v>
      </c>
      <c r="G4231" s="28">
        <f t="shared" si="242"/>
        <v>2250</v>
      </c>
      <c r="H4231" s="28">
        <f t="shared" si="243"/>
        <v>1100</v>
      </c>
      <c r="I4231" s="28">
        <f t="shared" si="244"/>
        <v>1350</v>
      </c>
      <c r="J4231" s="13">
        <f t="shared" si="245"/>
        <v>-3478.6563482650936</v>
      </c>
      <c r="K4231" s="13">
        <f t="shared" si="246"/>
        <v>1.6715949973176976</v>
      </c>
      <c r="L4231" s="13">
        <f t="shared" si="247"/>
        <v>1347.6350716693487</v>
      </c>
      <c r="M4231" s="13">
        <f t="shared" si="248"/>
        <v>4827.96301493176</v>
      </c>
      <c r="N4231" s="15">
        <f t="shared" si="249"/>
        <v>1268</v>
      </c>
      <c r="O4231" s="15">
        <f t="shared" si="250"/>
        <v>1800</v>
      </c>
      <c r="P4231" s="49"/>
      <c r="Q4231" s="49"/>
      <c r="R4231" s="49"/>
      <c r="S4231" s="49"/>
      <c r="T4231" s="49"/>
      <c r="U4231" s="49"/>
      <c r="V4231" s="49"/>
      <c r="W4231" s="49"/>
    </row>
    <row r="4232" spans="1:23">
      <c r="A4232" s="3" t="s">
        <v>2</v>
      </c>
      <c r="B4232" s="49"/>
      <c r="C4232" s="49"/>
      <c r="D4232" s="49"/>
      <c r="E4232" s="49"/>
      <c r="F4232" s="49"/>
      <c r="G4232" s="49"/>
      <c r="H4232" s="49"/>
      <c r="I4232" s="49"/>
      <c r="J4232" s="49"/>
      <c r="K4232" s="49"/>
      <c r="L4232" s="49"/>
      <c r="M4232" s="49"/>
      <c r="N4232" s="49"/>
      <c r="O4232" s="49"/>
      <c r="P4232" s="49"/>
      <c r="Q4232" s="49"/>
      <c r="R4232" s="49"/>
      <c r="S4232" s="49"/>
      <c r="T4232" s="49"/>
      <c r="U4232" s="49"/>
      <c r="V4232" s="49"/>
      <c r="W4232" s="49"/>
    </row>
    <row r="4233" spans="1:23">
      <c r="A4233" s="49" t="s">
        <v>644</v>
      </c>
      <c r="B4233" s="49"/>
      <c r="C4233" s="49"/>
      <c r="D4233" s="48">
        <f t="shared" ref="D4233:D4238" si="251">F4233*2+4</f>
        <v>10</v>
      </c>
      <c r="E4233" s="48" t="s">
        <v>1</v>
      </c>
      <c r="F4233" s="49">
        <v>3</v>
      </c>
      <c r="G4233" s="49">
        <v>150</v>
      </c>
      <c r="H4233" s="49">
        <v>100</v>
      </c>
      <c r="I4233" s="49">
        <v>600</v>
      </c>
      <c r="J4233" s="49">
        <f t="shared" ref="J4233:J4238" si="252">N4233+5</f>
        <v>287</v>
      </c>
      <c r="K4233" s="49">
        <v>1050</v>
      </c>
      <c r="L4233" s="49">
        <v>318</v>
      </c>
      <c r="M4233" s="48"/>
      <c r="N4233" s="48">
        <v>282</v>
      </c>
      <c r="O4233" s="48"/>
      <c r="P4233" s="49"/>
      <c r="Q4233" s="49"/>
      <c r="R4233" s="49"/>
      <c r="S4233" s="49"/>
      <c r="T4233" s="49"/>
      <c r="U4233" s="49"/>
      <c r="V4233" s="49"/>
      <c r="W4233" s="49"/>
    </row>
    <row r="4234" spans="1:23">
      <c r="A4234" s="49"/>
      <c r="B4234" s="49"/>
      <c r="C4234" s="49"/>
      <c r="D4234" s="48">
        <f t="shared" si="251"/>
        <v>10</v>
      </c>
      <c r="E4234" s="48" t="s">
        <v>1</v>
      </c>
      <c r="F4234" s="48">
        <v>3</v>
      </c>
      <c r="G4234" s="49">
        <v>1350</v>
      </c>
      <c r="H4234" s="49">
        <v>100</v>
      </c>
      <c r="I4234" s="49">
        <v>1800</v>
      </c>
      <c r="J4234" s="49">
        <f t="shared" si="252"/>
        <v>339</v>
      </c>
      <c r="K4234" s="49">
        <v>2250</v>
      </c>
      <c r="L4234" s="49">
        <v>269</v>
      </c>
      <c r="M4234" s="48"/>
      <c r="N4234" s="48">
        <v>334</v>
      </c>
      <c r="O4234" s="48"/>
      <c r="P4234" s="49"/>
      <c r="Q4234" s="49"/>
      <c r="R4234" s="49"/>
      <c r="S4234" s="49"/>
      <c r="T4234" s="49"/>
      <c r="U4234" s="49"/>
      <c r="V4234" s="49"/>
      <c r="W4234" s="49"/>
    </row>
    <row r="4235" spans="1:23">
      <c r="A4235" s="48"/>
      <c r="B4235" s="48"/>
      <c r="C4235" s="48"/>
      <c r="D4235" s="48">
        <f t="shared" si="251"/>
        <v>10</v>
      </c>
      <c r="E4235" s="48" t="s">
        <v>1</v>
      </c>
      <c r="F4235" s="49">
        <v>3</v>
      </c>
      <c r="G4235" s="49">
        <v>150</v>
      </c>
      <c r="H4235" s="49">
        <v>819</v>
      </c>
      <c r="I4235" s="49">
        <v>600</v>
      </c>
      <c r="J4235" s="49">
        <f t="shared" si="252"/>
        <v>755</v>
      </c>
      <c r="K4235" s="48">
        <v>1050</v>
      </c>
      <c r="L4235" s="48">
        <v>600</v>
      </c>
      <c r="M4235" s="48"/>
      <c r="N4235" s="48">
        <v>750</v>
      </c>
      <c r="O4235" s="48"/>
      <c r="P4235" s="49"/>
      <c r="Q4235" s="49"/>
      <c r="R4235" s="49"/>
      <c r="S4235" s="49"/>
      <c r="T4235" s="49"/>
      <c r="U4235" s="49"/>
      <c r="V4235" s="49"/>
      <c r="W4235" s="49"/>
    </row>
    <row r="4236" spans="1:23">
      <c r="A4236" s="49"/>
      <c r="B4236" s="49"/>
      <c r="C4236" s="49"/>
      <c r="D4236" s="48">
        <f t="shared" si="251"/>
        <v>10</v>
      </c>
      <c r="E4236" s="48" t="s">
        <v>1</v>
      </c>
      <c r="F4236" s="49">
        <v>3</v>
      </c>
      <c r="G4236" s="49">
        <v>1350</v>
      </c>
      <c r="H4236" s="49">
        <v>600</v>
      </c>
      <c r="I4236" s="49">
        <v>1800</v>
      </c>
      <c r="J4236" s="49">
        <f t="shared" si="252"/>
        <v>837</v>
      </c>
      <c r="K4236" s="49">
        <v>2250</v>
      </c>
      <c r="L4236" s="49">
        <v>775</v>
      </c>
      <c r="M4236" s="48"/>
      <c r="N4236" s="48">
        <v>832</v>
      </c>
      <c r="O4236" s="48"/>
      <c r="P4236" s="49"/>
      <c r="Q4236" s="49"/>
      <c r="R4236" s="49"/>
      <c r="S4236" s="49"/>
      <c r="T4236" s="49"/>
      <c r="U4236" s="49"/>
      <c r="V4236" s="49"/>
      <c r="W4236" s="49"/>
    </row>
    <row r="4237" spans="1:23">
      <c r="A4237" s="48"/>
      <c r="B4237" s="48"/>
      <c r="C4237" s="48"/>
      <c r="D4237" s="48">
        <f t="shared" si="251"/>
        <v>10</v>
      </c>
      <c r="E4237" s="48" t="s">
        <v>1</v>
      </c>
      <c r="F4237" s="49">
        <v>3</v>
      </c>
      <c r="G4237" s="49">
        <v>150</v>
      </c>
      <c r="H4237" s="49">
        <v>1100</v>
      </c>
      <c r="I4237" s="49">
        <v>600</v>
      </c>
      <c r="J4237" s="49">
        <f t="shared" si="252"/>
        <v>1314</v>
      </c>
      <c r="K4237" s="48">
        <v>1050</v>
      </c>
      <c r="L4237" s="48">
        <v>1355</v>
      </c>
      <c r="M4237" s="48"/>
      <c r="N4237" s="48">
        <v>1309</v>
      </c>
      <c r="O4237" s="48"/>
      <c r="P4237" s="49"/>
      <c r="Q4237" s="49"/>
      <c r="R4237" s="49"/>
      <c r="S4237" s="49"/>
      <c r="T4237" s="49"/>
      <c r="U4237" s="49"/>
      <c r="V4237" s="49"/>
      <c r="W4237" s="49"/>
    </row>
    <row r="4238" spans="1:23">
      <c r="A4238" s="48"/>
      <c r="B4238" s="48"/>
      <c r="C4238" s="48"/>
      <c r="D4238" s="48">
        <f t="shared" si="251"/>
        <v>10</v>
      </c>
      <c r="E4238" s="48" t="s">
        <v>1</v>
      </c>
      <c r="F4238" s="49">
        <v>3</v>
      </c>
      <c r="G4238" s="49">
        <v>1350</v>
      </c>
      <c r="H4238" s="49">
        <v>1100</v>
      </c>
      <c r="I4238" s="49">
        <v>1800</v>
      </c>
      <c r="J4238" s="49">
        <f t="shared" si="252"/>
        <v>1268</v>
      </c>
      <c r="K4238" s="48">
        <v>2250</v>
      </c>
      <c r="L4238" s="48">
        <v>1342</v>
      </c>
      <c r="M4238" s="48"/>
      <c r="N4238" s="48">
        <v>1263</v>
      </c>
      <c r="O4238" s="48"/>
      <c r="P4238" s="49"/>
      <c r="Q4238" s="49"/>
      <c r="R4238" s="49"/>
      <c r="S4238" s="49"/>
      <c r="T4238" s="49"/>
      <c r="U4238" s="49"/>
      <c r="V4238" s="49"/>
      <c r="W4238" s="49"/>
    </row>
    <row r="4240" spans="1:23">
      <c r="A4240" s="48" t="s">
        <v>383</v>
      </c>
      <c r="B4240" s="1" t="s">
        <v>661</v>
      </c>
      <c r="C4240" s="48"/>
      <c r="D4240" s="48" t="s">
        <v>449</v>
      </c>
      <c r="E4240" s="48">
        <v>52695</v>
      </c>
      <c r="F4240" s="6">
        <v>39622</v>
      </c>
      <c r="G4240" s="6">
        <v>0</v>
      </c>
      <c r="H4240" s="6">
        <v>0</v>
      </c>
      <c r="I4240" s="6">
        <v>0</v>
      </c>
      <c r="J4240" s="6">
        <v>2350</v>
      </c>
      <c r="K4240" s="6">
        <v>1550</v>
      </c>
      <c r="L4240" s="6">
        <v>384</v>
      </c>
      <c r="M4240" s="6">
        <v>0</v>
      </c>
      <c r="N4240" s="6">
        <v>0</v>
      </c>
      <c r="O4240" s="6" t="e">
        <f ca="1">checksummeint(G4240,H4240,I4240,J4240,K4240,L4240,M4240,N4240)</f>
        <v>#NAME?</v>
      </c>
      <c r="P4240" s="48"/>
      <c r="Q4240" s="48"/>
      <c r="R4240" s="49"/>
      <c r="S4240" s="49"/>
      <c r="T4240" s="49"/>
      <c r="U4240" s="49"/>
      <c r="V4240" s="48"/>
    </row>
    <row r="4241" spans="1:22">
      <c r="A4241" s="1" t="s">
        <v>645</v>
      </c>
      <c r="B4241" s="48"/>
      <c r="C4241" s="48">
        <v>0</v>
      </c>
      <c r="D4241" s="48">
        <v>28</v>
      </c>
      <c r="E4241" s="48" t="s">
        <v>12</v>
      </c>
      <c r="F4241" s="6">
        <v>72</v>
      </c>
      <c r="G4241" s="6">
        <v>0</v>
      </c>
      <c r="H4241" s="6">
        <v>0</v>
      </c>
      <c r="I4241" s="6">
        <v>0</v>
      </c>
      <c r="J4241" s="6">
        <v>400</v>
      </c>
      <c r="K4241" s="6">
        <v>0</v>
      </c>
      <c r="L4241" s="6">
        <v>0</v>
      </c>
      <c r="M4241" s="6">
        <v>0</v>
      </c>
      <c r="N4241" s="6">
        <v>0</v>
      </c>
      <c r="O4241" s="6" t="s">
        <v>19</v>
      </c>
      <c r="P4241" s="48"/>
      <c r="Q4241" s="48"/>
      <c r="R4241" s="49"/>
      <c r="S4241" s="49"/>
      <c r="T4241" s="49"/>
      <c r="U4241" s="49"/>
      <c r="V4241" s="48"/>
    </row>
    <row r="4242" spans="1:22">
      <c r="A4242" s="5" t="s">
        <v>812</v>
      </c>
      <c r="B4242" s="48"/>
      <c r="C4242" s="48">
        <v>1</v>
      </c>
      <c r="D4242" s="48">
        <v>8</v>
      </c>
      <c r="E4242" s="48" t="s">
        <v>14</v>
      </c>
      <c r="F4242" s="6">
        <v>0</v>
      </c>
      <c r="G4242" s="6">
        <v>4</v>
      </c>
      <c r="H4242" s="6">
        <v>0</v>
      </c>
      <c r="I4242" s="6">
        <v>0</v>
      </c>
      <c r="J4242" s="6">
        <v>0</v>
      </c>
      <c r="M4242" s="44"/>
      <c r="P4242" s="48"/>
      <c r="Q4242" s="48"/>
      <c r="R4242" s="49"/>
      <c r="S4242" s="49"/>
      <c r="T4242" s="49"/>
      <c r="U4242" s="49"/>
      <c r="V4242" s="48"/>
    </row>
    <row r="4243" spans="1:22">
      <c r="A4243" s="48"/>
      <c r="B4243" s="48"/>
      <c r="C4243" s="48">
        <v>2</v>
      </c>
      <c r="D4243" s="48">
        <v>7</v>
      </c>
      <c r="E4243" s="48" t="s">
        <v>11</v>
      </c>
      <c r="F4243" s="6">
        <v>0</v>
      </c>
      <c r="G4243" s="50">
        <v>0</v>
      </c>
      <c r="H4243" s="50">
        <v>0</v>
      </c>
      <c r="I4243" s="6">
        <v>0</v>
      </c>
      <c r="P4243" s="48"/>
      <c r="Q4243" s="48"/>
      <c r="R4243" s="49"/>
      <c r="S4243" s="49"/>
      <c r="T4243" s="49"/>
      <c r="U4243" s="49"/>
      <c r="V4243" s="48"/>
    </row>
    <row r="4244" spans="1:22">
      <c r="A4244" s="48"/>
      <c r="B4244" s="48"/>
      <c r="C4244" s="48">
        <v>3</v>
      </c>
      <c r="D4244" s="48">
        <v>7</v>
      </c>
      <c r="E4244" s="48" t="s">
        <v>11</v>
      </c>
      <c r="F4244" s="6">
        <v>0</v>
      </c>
      <c r="G4244" s="50">
        <v>-64</v>
      </c>
      <c r="H4244" s="50">
        <v>192</v>
      </c>
      <c r="I4244" s="6">
        <v>0</v>
      </c>
      <c r="N4244" s="50"/>
      <c r="P4244" s="48"/>
      <c r="Q4244" s="48"/>
      <c r="R4244" s="49"/>
      <c r="S4244" s="49"/>
      <c r="T4244" s="49"/>
      <c r="U4244" s="49"/>
      <c r="V4244" s="48"/>
    </row>
    <row r="4245" spans="1:22">
      <c r="A4245" s="48"/>
      <c r="B4245" s="48"/>
      <c r="C4245" s="48"/>
      <c r="D4245" s="48">
        <v>7</v>
      </c>
      <c r="E4245" s="48" t="s">
        <v>11</v>
      </c>
      <c r="F4245" s="6">
        <v>0</v>
      </c>
      <c r="G4245" s="50">
        <v>-1</v>
      </c>
      <c r="H4245" s="50">
        <v>255</v>
      </c>
      <c r="I4245" s="6">
        <v>0</v>
      </c>
      <c r="N4245" s="50"/>
      <c r="P4245" s="48"/>
      <c r="Q4245" s="48"/>
      <c r="R4245" s="49"/>
      <c r="S4245" s="49"/>
      <c r="T4245" s="49"/>
      <c r="U4245" s="49"/>
      <c r="V4245" s="48"/>
    </row>
    <row r="4246" spans="1:22">
      <c r="A4246" s="48"/>
      <c r="B4246" s="48"/>
      <c r="C4246" s="48"/>
      <c r="D4246" s="48">
        <v>8</v>
      </c>
      <c r="E4246" s="48" t="s">
        <v>14</v>
      </c>
      <c r="F4246" s="6">
        <v>5</v>
      </c>
      <c r="G4246" s="6">
        <v>4</v>
      </c>
      <c r="H4246" s="6">
        <v>0</v>
      </c>
      <c r="I4246" s="6">
        <v>0</v>
      </c>
      <c r="J4246" s="6">
        <v>0</v>
      </c>
      <c r="N4246" s="50"/>
      <c r="P4246" s="48"/>
      <c r="Q4246" s="48"/>
      <c r="R4246" s="49"/>
      <c r="S4246" s="49"/>
      <c r="T4246" s="49"/>
      <c r="U4246" s="49"/>
      <c r="V4246" s="48"/>
    </row>
    <row r="4247" spans="1:22">
      <c r="A4247" s="1"/>
      <c r="B4247" s="1"/>
      <c r="C4247" s="48"/>
      <c r="D4247" s="48">
        <v>5</v>
      </c>
      <c r="E4247" s="48" t="s">
        <v>59</v>
      </c>
      <c r="F4247" s="6">
        <v>1</v>
      </c>
      <c r="G4247" s="6">
        <v>0</v>
      </c>
      <c r="P4247" s="48"/>
      <c r="Q4247" s="48"/>
      <c r="R4247" s="49"/>
      <c r="S4247" s="49"/>
      <c r="T4247" s="49"/>
      <c r="U4247" s="49"/>
      <c r="V4247" s="49"/>
    </row>
    <row r="4248" spans="1:22">
      <c r="A4248" s="1"/>
      <c r="B4248" s="1"/>
      <c r="C4248" s="48"/>
      <c r="D4248" s="48">
        <v>4</v>
      </c>
      <c r="E4248" s="48" t="s">
        <v>15</v>
      </c>
      <c r="F4248" s="6">
        <v>0</v>
      </c>
      <c r="N4248" s="31"/>
      <c r="P4248" s="48"/>
      <c r="Q4248" s="48"/>
      <c r="R4248" s="49"/>
      <c r="S4248" s="49"/>
      <c r="T4248" s="49"/>
      <c r="U4248" s="49"/>
      <c r="V4248" s="49"/>
    </row>
    <row r="4249" spans="1:22">
      <c r="A4249" s="1"/>
      <c r="B4249" s="1"/>
      <c r="C4249" s="48"/>
      <c r="D4249" s="48">
        <v>4</v>
      </c>
      <c r="E4249" s="48" t="s">
        <v>15</v>
      </c>
      <c r="F4249" s="6">
        <v>1</v>
      </c>
      <c r="G4249" s="50"/>
      <c r="P4249" s="48"/>
      <c r="Q4249" s="48"/>
      <c r="R4249" s="50"/>
      <c r="S4249" s="50"/>
      <c r="T4249" s="50"/>
      <c r="U4249" s="50"/>
      <c r="V4249" s="49"/>
    </row>
    <row r="4250" spans="1:22">
      <c r="A4250" s="49"/>
      <c r="B4250" s="49"/>
      <c r="C4250" s="48"/>
      <c r="D4250" s="48">
        <v>4</v>
      </c>
      <c r="E4250" s="48" t="s">
        <v>15</v>
      </c>
      <c r="F4250" s="6">
        <v>2</v>
      </c>
      <c r="G4250" s="50"/>
      <c r="H4250" s="50"/>
      <c r="I4250" s="50"/>
      <c r="J4250" s="50"/>
      <c r="K4250" s="50"/>
      <c r="L4250" s="36"/>
      <c r="M4250" s="50"/>
      <c r="N4250" s="50"/>
      <c r="O4250" s="50"/>
      <c r="P4250" s="48"/>
      <c r="Q4250" s="48"/>
      <c r="R4250" s="50"/>
      <c r="S4250" s="49"/>
      <c r="T4250" s="50"/>
      <c r="U4250" s="48"/>
      <c r="V4250" s="49"/>
    </row>
    <row r="4251" spans="1:22">
      <c r="A4251" s="1"/>
      <c r="B4251" s="1"/>
      <c r="C4251" s="48"/>
      <c r="D4251" s="49"/>
      <c r="E4251" s="49" t="s">
        <v>113</v>
      </c>
      <c r="F4251" s="49">
        <v>40</v>
      </c>
      <c r="G4251" s="49">
        <v>150</v>
      </c>
      <c r="H4251" s="50">
        <v>292</v>
      </c>
      <c r="I4251" s="50">
        <f>G4251+512</f>
        <v>662</v>
      </c>
      <c r="J4251" s="49">
        <f>H4251-192</f>
        <v>100</v>
      </c>
      <c r="K4251" s="49" t="s">
        <v>646</v>
      </c>
      <c r="L4251" s="49">
        <v>-1</v>
      </c>
      <c r="M4251" s="49">
        <v>0</v>
      </c>
      <c r="N4251" s="49">
        <f>COUNT(S4251:CA4251)</f>
        <v>4</v>
      </c>
      <c r="O4251" s="49">
        <v>0</v>
      </c>
      <c r="P4251" s="49">
        <v>0</v>
      </c>
      <c r="Q4251" s="49">
        <v>2</v>
      </c>
      <c r="R4251" s="49"/>
      <c r="S4251" s="48">
        <v>0</v>
      </c>
      <c r="T4251" s="48">
        <v>0</v>
      </c>
      <c r="U4251" s="48">
        <v>25</v>
      </c>
      <c r="V4251" s="49">
        <f>U4251*2</f>
        <v>50</v>
      </c>
    </row>
    <row r="4252" spans="1:22">
      <c r="A4252" s="1"/>
      <c r="B4252" s="1"/>
      <c r="C4252" s="48"/>
      <c r="D4252" s="48">
        <v>4</v>
      </c>
      <c r="E4252" s="48" t="s">
        <v>15</v>
      </c>
      <c r="F4252" s="6">
        <v>2</v>
      </c>
      <c r="G4252" s="49"/>
      <c r="H4252" s="50"/>
      <c r="I4252" s="50"/>
      <c r="J4252" s="49"/>
      <c r="K4252" s="49" t="s">
        <v>647</v>
      </c>
      <c r="L4252" s="49">
        <f>L4251</f>
        <v>-1</v>
      </c>
      <c r="M4252" s="49"/>
      <c r="N4252" s="49"/>
      <c r="O4252" s="49"/>
      <c r="P4252" s="49"/>
      <c r="Q4252" s="49">
        <v>3</v>
      </c>
      <c r="R4252" s="49" t="s">
        <v>660</v>
      </c>
      <c r="S4252" s="6">
        <v>300</v>
      </c>
      <c r="T4252" s="48">
        <v>385</v>
      </c>
      <c r="U4252" s="48">
        <v>315</v>
      </c>
      <c r="V4252" s="48">
        <v>393</v>
      </c>
    </row>
    <row r="4253" spans="1:22">
      <c r="A4253" s="49"/>
      <c r="B4253" s="49"/>
      <c r="C4253" s="49"/>
      <c r="D4253" s="49"/>
      <c r="E4253" s="49" t="s">
        <v>113</v>
      </c>
      <c r="F4253" s="49">
        <v>40</v>
      </c>
      <c r="G4253" s="49">
        <f>G4251+768</f>
        <v>918</v>
      </c>
      <c r="H4253" s="50">
        <f>H4251</f>
        <v>292</v>
      </c>
      <c r="I4253" s="50">
        <f>G4253+512</f>
        <v>1430</v>
      </c>
      <c r="J4253" s="49">
        <f>H4253-192</f>
        <v>100</v>
      </c>
      <c r="K4253" s="49"/>
      <c r="L4253" s="49">
        <f t="shared" ref="L4253:L4274" si="253">L4252</f>
        <v>-1</v>
      </c>
      <c r="M4253" s="49"/>
      <c r="N4253" s="49">
        <f>COUNT(S4253:CA4253)</f>
        <v>4</v>
      </c>
      <c r="O4253" s="49"/>
      <c r="P4253" s="49"/>
      <c r="Q4253" s="49">
        <v>2</v>
      </c>
      <c r="R4253" s="49"/>
      <c r="S4253" s="48">
        <v>0</v>
      </c>
      <c r="T4253" s="48">
        <v>0</v>
      </c>
      <c r="U4253" s="48">
        <v>25</v>
      </c>
      <c r="V4253" s="49">
        <f>U4253*2</f>
        <v>50</v>
      </c>
    </row>
    <row r="4254" spans="1:22">
      <c r="A4254" s="49"/>
      <c r="B4254" s="49"/>
      <c r="C4254" s="49"/>
      <c r="D4254" s="48">
        <v>4</v>
      </c>
      <c r="E4254" s="48" t="s">
        <v>15</v>
      </c>
      <c r="F4254" s="6">
        <v>2</v>
      </c>
      <c r="G4254" s="49"/>
      <c r="H4254" s="50"/>
      <c r="I4254" s="50"/>
      <c r="J4254" s="49"/>
      <c r="K4254" s="49" t="s">
        <v>648</v>
      </c>
      <c r="L4254" s="49">
        <f t="shared" si="253"/>
        <v>-1</v>
      </c>
      <c r="M4254" s="49"/>
      <c r="N4254" s="49"/>
      <c r="O4254" s="49"/>
      <c r="P4254" s="49"/>
      <c r="Q4254" s="49">
        <v>3</v>
      </c>
      <c r="R4254" s="49" t="s">
        <v>654</v>
      </c>
      <c r="S4254" s="6">
        <v>350</v>
      </c>
      <c r="T4254" s="48">
        <v>533</v>
      </c>
      <c r="U4254" s="48">
        <v>417</v>
      </c>
      <c r="V4254" s="48">
        <v>393</v>
      </c>
    </row>
    <row r="4255" spans="1:22">
      <c r="A4255" s="49"/>
      <c r="B4255" s="49"/>
      <c r="C4255" s="49"/>
      <c r="D4255" s="49"/>
      <c r="E4255" s="49" t="s">
        <v>113</v>
      </c>
      <c r="F4255" s="49">
        <v>40</v>
      </c>
      <c r="G4255" s="49">
        <f>G4253+768</f>
        <v>1686</v>
      </c>
      <c r="H4255" s="50">
        <f>H4253</f>
        <v>292</v>
      </c>
      <c r="I4255" s="50">
        <f>G4255+512</f>
        <v>2198</v>
      </c>
      <c r="J4255" s="49">
        <f>H4255-192</f>
        <v>100</v>
      </c>
      <c r="K4255" s="49"/>
      <c r="L4255" s="49">
        <f t="shared" si="253"/>
        <v>-1</v>
      </c>
      <c r="M4255" s="49"/>
      <c r="N4255" s="49">
        <f>COUNT(S4255:CA4255)</f>
        <v>4</v>
      </c>
      <c r="O4255" s="49"/>
      <c r="P4255" s="49"/>
      <c r="Q4255" s="49">
        <v>2</v>
      </c>
      <c r="R4255" s="49"/>
      <c r="S4255" s="48">
        <v>0</v>
      </c>
      <c r="T4255" s="48">
        <v>0</v>
      </c>
      <c r="U4255" s="48">
        <v>25</v>
      </c>
      <c r="V4255" s="49">
        <f>U4255*2</f>
        <v>50</v>
      </c>
    </row>
    <row r="4256" spans="1:22">
      <c r="A4256" s="49"/>
      <c r="B4256" s="49"/>
      <c r="C4256" s="49"/>
      <c r="D4256" s="48">
        <v>4</v>
      </c>
      <c r="E4256" s="48" t="s">
        <v>15</v>
      </c>
      <c r="F4256" s="6">
        <v>2</v>
      </c>
      <c r="G4256" s="49"/>
      <c r="H4256" s="50"/>
      <c r="I4256" s="50"/>
      <c r="J4256" s="49"/>
      <c r="K4256" s="49" t="s">
        <v>649</v>
      </c>
      <c r="L4256" s="49">
        <f t="shared" si="253"/>
        <v>-1</v>
      </c>
      <c r="M4256" s="49"/>
      <c r="N4256" s="49"/>
      <c r="O4256" s="49"/>
      <c r="P4256" s="49"/>
      <c r="Q4256" s="49">
        <v>3</v>
      </c>
      <c r="R4256" s="49" t="s">
        <v>657</v>
      </c>
      <c r="S4256" s="6">
        <v>300</v>
      </c>
      <c r="T4256" s="48">
        <v>512</v>
      </c>
      <c r="U4256" s="48">
        <v>352</v>
      </c>
      <c r="V4256" s="48">
        <v>393</v>
      </c>
    </row>
    <row r="4257" spans="1:22">
      <c r="A4257" s="49"/>
      <c r="B4257" s="49"/>
      <c r="C4257" s="49"/>
      <c r="D4257" s="49"/>
      <c r="E4257" s="49" t="s">
        <v>113</v>
      </c>
      <c r="F4257" s="49">
        <v>40</v>
      </c>
      <c r="G4257" s="49">
        <v>150</v>
      </c>
      <c r="H4257" s="50">
        <f>H4251+384</f>
        <v>676</v>
      </c>
      <c r="I4257" s="50">
        <f>G4257+512</f>
        <v>662</v>
      </c>
      <c r="J4257" s="49">
        <f>H4257-192</f>
        <v>484</v>
      </c>
      <c r="K4257" s="49"/>
      <c r="L4257" s="49">
        <f t="shared" si="253"/>
        <v>-1</v>
      </c>
      <c r="M4257" s="49"/>
      <c r="N4257" s="49">
        <f>COUNT(S4257:CA4257)</f>
        <v>4</v>
      </c>
      <c r="O4257" s="49"/>
      <c r="P4257" s="49"/>
      <c r="Q4257" s="49">
        <v>2</v>
      </c>
      <c r="R4257" s="49"/>
      <c r="S4257" s="48">
        <v>0</v>
      </c>
      <c r="T4257" s="48">
        <v>0</v>
      </c>
      <c r="U4257" s="48">
        <v>20</v>
      </c>
      <c r="V4257" s="49">
        <f>U4257*2</f>
        <v>40</v>
      </c>
    </row>
    <row r="4258" spans="1:22">
      <c r="A4258" s="49"/>
      <c r="B4258" s="49"/>
      <c r="C4258" s="49"/>
      <c r="D4258" s="48">
        <v>4</v>
      </c>
      <c r="E4258" s="48" t="s">
        <v>15</v>
      </c>
      <c r="F4258" s="6">
        <v>2</v>
      </c>
      <c r="G4258" s="49"/>
      <c r="H4258" s="50"/>
      <c r="I4258" s="50"/>
      <c r="J4258" s="49"/>
      <c r="K4258" s="49" t="s">
        <v>650</v>
      </c>
      <c r="L4258" s="49">
        <f t="shared" si="253"/>
        <v>-1</v>
      </c>
      <c r="M4258" s="49"/>
      <c r="N4258" s="49"/>
      <c r="O4258" s="49"/>
      <c r="P4258" s="49"/>
      <c r="Q4258" s="49">
        <v>3</v>
      </c>
      <c r="R4258" s="49" t="s">
        <v>658</v>
      </c>
      <c r="S4258" s="6">
        <v>350</v>
      </c>
      <c r="T4258" s="48">
        <v>533</v>
      </c>
      <c r="U4258" s="48">
        <v>417</v>
      </c>
      <c r="V4258" s="48">
        <v>385</v>
      </c>
    </row>
    <row r="4259" spans="1:22">
      <c r="A4259" s="49"/>
      <c r="B4259" s="49"/>
      <c r="C4259" s="49"/>
      <c r="D4259" s="49"/>
      <c r="E4259" s="49" t="s">
        <v>113</v>
      </c>
      <c r="F4259" s="49">
        <v>40</v>
      </c>
      <c r="G4259" s="49">
        <f>G4257+768</f>
        <v>918</v>
      </c>
      <c r="H4259" s="50">
        <f>H4257</f>
        <v>676</v>
      </c>
      <c r="I4259" s="50">
        <f>G4259+512</f>
        <v>1430</v>
      </c>
      <c r="J4259" s="49">
        <f>H4259-192</f>
        <v>484</v>
      </c>
      <c r="K4259" s="49"/>
      <c r="L4259" s="49">
        <f t="shared" si="253"/>
        <v>-1</v>
      </c>
      <c r="M4259" s="49"/>
      <c r="N4259" s="49">
        <f>COUNT(S4259:CA4259)</f>
        <v>4</v>
      </c>
      <c r="O4259" s="49"/>
      <c r="P4259" s="49"/>
      <c r="Q4259" s="49">
        <v>2</v>
      </c>
      <c r="R4259" s="49"/>
      <c r="S4259" s="48">
        <v>0</v>
      </c>
      <c r="T4259" s="48">
        <v>0</v>
      </c>
      <c r="U4259" s="48">
        <v>20</v>
      </c>
      <c r="V4259" s="49">
        <f>U4259*2</f>
        <v>40</v>
      </c>
    </row>
    <row r="4260" spans="1:22">
      <c r="A4260" s="49"/>
      <c r="B4260" s="49"/>
      <c r="C4260" s="49"/>
      <c r="D4260" s="48">
        <v>4</v>
      </c>
      <c r="E4260" s="48" t="s">
        <v>15</v>
      </c>
      <c r="F4260" s="6">
        <v>2</v>
      </c>
      <c r="G4260" s="49"/>
      <c r="H4260" s="50"/>
      <c r="I4260" s="50"/>
      <c r="J4260" s="49"/>
      <c r="K4260" s="49" t="s">
        <v>651</v>
      </c>
      <c r="L4260" s="49">
        <f t="shared" si="253"/>
        <v>-1</v>
      </c>
      <c r="M4260" s="49"/>
      <c r="N4260" s="49"/>
      <c r="O4260" s="49"/>
      <c r="P4260" s="49"/>
      <c r="Q4260" s="49">
        <v>3</v>
      </c>
      <c r="R4260" s="49" t="s">
        <v>657</v>
      </c>
      <c r="S4260" s="6">
        <v>350</v>
      </c>
      <c r="T4260" s="48">
        <v>512</v>
      </c>
      <c r="U4260" s="48">
        <v>468</v>
      </c>
      <c r="V4260" s="48">
        <v>385</v>
      </c>
    </row>
    <row r="4261" spans="1:22">
      <c r="A4261" s="49"/>
      <c r="B4261" s="49"/>
      <c r="C4261" s="49"/>
      <c r="D4261" s="49"/>
      <c r="E4261" s="49" t="s">
        <v>113</v>
      </c>
      <c r="F4261" s="49">
        <v>40</v>
      </c>
      <c r="G4261" s="49">
        <f>G4259+768</f>
        <v>1686</v>
      </c>
      <c r="H4261" s="50">
        <f>H4259</f>
        <v>676</v>
      </c>
      <c r="I4261" s="50">
        <f>G4261+512</f>
        <v>2198</v>
      </c>
      <c r="J4261" s="49">
        <f>H4261-192</f>
        <v>484</v>
      </c>
      <c r="K4261" s="49"/>
      <c r="L4261" s="49">
        <f t="shared" si="253"/>
        <v>-1</v>
      </c>
      <c r="M4261" s="49"/>
      <c r="N4261" s="49">
        <f>COUNT(S4261:CA4261)</f>
        <v>4</v>
      </c>
      <c r="O4261" s="49"/>
      <c r="P4261" s="49"/>
      <c r="Q4261" s="49">
        <v>2</v>
      </c>
      <c r="R4261" s="49"/>
      <c r="S4261" s="48">
        <v>0</v>
      </c>
      <c r="T4261" s="48">
        <v>0</v>
      </c>
      <c r="U4261" s="48">
        <v>25</v>
      </c>
      <c r="V4261" s="49">
        <f>U4261*2</f>
        <v>50</v>
      </c>
    </row>
    <row r="4262" spans="1:22">
      <c r="A4262" s="49"/>
      <c r="B4262" s="49"/>
      <c r="C4262" s="49"/>
      <c r="D4262" s="48">
        <v>4</v>
      </c>
      <c r="E4262" s="48" t="s">
        <v>15</v>
      </c>
      <c r="F4262" s="6">
        <v>2</v>
      </c>
      <c r="G4262" s="49"/>
      <c r="H4262" s="50"/>
      <c r="I4262" s="50"/>
      <c r="J4262" s="49"/>
      <c r="K4262" s="49" t="s">
        <v>652</v>
      </c>
      <c r="L4262" s="49">
        <f t="shared" si="253"/>
        <v>-1</v>
      </c>
      <c r="M4262" s="49"/>
      <c r="N4262" s="49"/>
      <c r="O4262" s="49"/>
      <c r="P4262" s="49"/>
      <c r="Q4262" s="49">
        <v>3</v>
      </c>
      <c r="R4262" s="49"/>
      <c r="S4262" s="6">
        <v>450</v>
      </c>
      <c r="T4262" s="48">
        <v>512</v>
      </c>
      <c r="U4262" s="48">
        <v>472</v>
      </c>
      <c r="V4262" s="48">
        <v>533</v>
      </c>
    </row>
    <row r="4263" spans="1:22">
      <c r="A4263" s="49"/>
      <c r="B4263" s="49"/>
      <c r="C4263" s="49"/>
      <c r="D4263" s="49"/>
      <c r="E4263" s="49" t="s">
        <v>113</v>
      </c>
      <c r="F4263" s="49">
        <v>40</v>
      </c>
      <c r="G4263" s="49">
        <v>150</v>
      </c>
      <c r="H4263" s="50">
        <f>H4257+384</f>
        <v>1060</v>
      </c>
      <c r="I4263" s="50">
        <f>G4263+512</f>
        <v>662</v>
      </c>
      <c r="J4263" s="49">
        <f>H4263-192</f>
        <v>868</v>
      </c>
      <c r="K4263" s="49"/>
      <c r="L4263" s="49">
        <f t="shared" si="253"/>
        <v>-1</v>
      </c>
      <c r="M4263" s="49"/>
      <c r="N4263" s="49">
        <f>COUNT(S4263:CA4263)</f>
        <v>4</v>
      </c>
      <c r="O4263" s="49"/>
      <c r="P4263" s="49"/>
      <c r="Q4263" s="49">
        <v>2</v>
      </c>
      <c r="R4263" s="49"/>
      <c r="S4263" s="48">
        <v>0</v>
      </c>
      <c r="T4263" s="48">
        <f>T4251</f>
        <v>0</v>
      </c>
      <c r="U4263" s="48">
        <f>U4251</f>
        <v>25</v>
      </c>
      <c r="V4263" s="48">
        <f>V4251</f>
        <v>50</v>
      </c>
    </row>
    <row r="4264" spans="1:22">
      <c r="A4264" s="49"/>
      <c r="B4264" s="49"/>
      <c r="C4264" s="49"/>
      <c r="D4264" s="48">
        <v>4</v>
      </c>
      <c r="E4264" s="48" t="s">
        <v>15</v>
      </c>
      <c r="F4264" s="6">
        <v>2</v>
      </c>
      <c r="G4264" s="49"/>
      <c r="H4264" s="50"/>
      <c r="I4264" s="50"/>
      <c r="J4264" s="49"/>
      <c r="K4264" s="49" t="str">
        <f>K4252</f>
        <v>K(a) Bogen =&gt; Schild</v>
      </c>
      <c r="L4264" s="49">
        <f t="shared" si="253"/>
        <v>-1</v>
      </c>
      <c r="M4264" s="49"/>
      <c r="N4264" s="49"/>
      <c r="O4264" s="49"/>
      <c r="P4264" s="49"/>
      <c r="Q4264" s="49">
        <v>3</v>
      </c>
      <c r="R4264" s="49" t="s">
        <v>655</v>
      </c>
      <c r="S4264" s="6">
        <v>350</v>
      </c>
      <c r="T4264" s="48">
        <f t="shared" ref="T4264:V4273" si="254">T4252</f>
        <v>385</v>
      </c>
      <c r="U4264" s="48">
        <v>543</v>
      </c>
      <c r="V4264" s="48">
        <f t="shared" si="254"/>
        <v>393</v>
      </c>
    </row>
    <row r="4265" spans="1:22">
      <c r="A4265" s="49"/>
      <c r="B4265" s="49"/>
      <c r="C4265" s="49"/>
      <c r="D4265" s="49"/>
      <c r="E4265" s="49" t="s">
        <v>113</v>
      </c>
      <c r="F4265" s="49">
        <v>40</v>
      </c>
      <c r="G4265" s="49">
        <f>G4263+768</f>
        <v>918</v>
      </c>
      <c r="H4265" s="50">
        <f>H4263</f>
        <v>1060</v>
      </c>
      <c r="I4265" s="50">
        <f>G4265+512</f>
        <v>1430</v>
      </c>
      <c r="J4265" s="49">
        <f>H4265-192</f>
        <v>868</v>
      </c>
      <c r="K4265" s="49"/>
      <c r="L4265" s="49">
        <f t="shared" si="253"/>
        <v>-1</v>
      </c>
      <c r="M4265" s="49"/>
      <c r="N4265" s="49">
        <f>COUNT(S4265:CA4265)</f>
        <v>4</v>
      </c>
      <c r="O4265" s="49"/>
      <c r="P4265" s="49"/>
      <c r="Q4265" s="49">
        <v>2</v>
      </c>
      <c r="R4265" s="49"/>
      <c r="S4265" s="48">
        <v>0</v>
      </c>
      <c r="T4265" s="48">
        <f t="shared" si="254"/>
        <v>0</v>
      </c>
      <c r="U4265" s="48">
        <f t="shared" si="254"/>
        <v>25</v>
      </c>
      <c r="V4265" s="48">
        <f t="shared" si="254"/>
        <v>50</v>
      </c>
    </row>
    <row r="4266" spans="1:22">
      <c r="A4266" s="49"/>
      <c r="B4266" s="49"/>
      <c r="C4266" s="49"/>
      <c r="D4266" s="48">
        <v>4</v>
      </c>
      <c r="E4266" s="48" t="s">
        <v>15</v>
      </c>
      <c r="F4266" s="6">
        <v>2</v>
      </c>
      <c r="G4266" s="49"/>
      <c r="H4266" s="50"/>
      <c r="I4266" s="50"/>
      <c r="J4266" s="49"/>
      <c r="K4266" s="49" t="str">
        <f t="shared" ref="K4266:K4274" si="255">K4254</f>
        <v>K(a) Bogen =&gt; Schurke</v>
      </c>
      <c r="L4266" s="49">
        <f t="shared" si="253"/>
        <v>-1</v>
      </c>
      <c r="M4266" s="49"/>
      <c r="N4266" s="49"/>
      <c r="O4266" s="49"/>
      <c r="P4266" s="49"/>
      <c r="Q4266" s="49">
        <v>3</v>
      </c>
      <c r="R4266" s="49"/>
      <c r="S4266" s="6">
        <v>350</v>
      </c>
      <c r="T4266" s="48">
        <f t="shared" si="254"/>
        <v>533</v>
      </c>
      <c r="U4266" s="48">
        <v>483</v>
      </c>
      <c r="V4266" s="48">
        <f t="shared" si="254"/>
        <v>393</v>
      </c>
    </row>
    <row r="4267" spans="1:22">
      <c r="A4267" s="49"/>
      <c r="B4267" s="49"/>
      <c r="C4267" s="49"/>
      <c r="D4267" s="49"/>
      <c r="E4267" s="49" t="s">
        <v>113</v>
      </c>
      <c r="F4267" s="49">
        <v>40</v>
      </c>
      <c r="G4267" s="49">
        <f>G4265+768</f>
        <v>1686</v>
      </c>
      <c r="H4267" s="50">
        <f>H4265</f>
        <v>1060</v>
      </c>
      <c r="I4267" s="50">
        <f>G4267+512</f>
        <v>2198</v>
      </c>
      <c r="J4267" s="49">
        <f>H4267-192</f>
        <v>868</v>
      </c>
      <c r="K4267" s="49"/>
      <c r="L4267" s="49">
        <f t="shared" si="253"/>
        <v>-1</v>
      </c>
      <c r="M4267" s="49"/>
      <c r="N4267" s="49">
        <f>COUNT(S4267:CA4267)</f>
        <v>4</v>
      </c>
      <c r="O4267" s="49"/>
      <c r="P4267" s="49"/>
      <c r="Q4267" s="49">
        <v>2</v>
      </c>
      <c r="R4267" s="49"/>
      <c r="S4267" s="48">
        <v>0</v>
      </c>
      <c r="T4267" s="48">
        <f t="shared" si="254"/>
        <v>0</v>
      </c>
      <c r="U4267" s="48">
        <f t="shared" si="254"/>
        <v>25</v>
      </c>
      <c r="V4267" s="48">
        <f t="shared" si="254"/>
        <v>50</v>
      </c>
    </row>
    <row r="4268" spans="1:22">
      <c r="A4268" s="49"/>
      <c r="B4268" s="49"/>
      <c r="C4268" s="49"/>
      <c r="D4268" s="48">
        <v>4</v>
      </c>
      <c r="E4268" s="48" t="s">
        <v>15</v>
      </c>
      <c r="F4268" s="6">
        <v>2</v>
      </c>
      <c r="G4268" s="49"/>
      <c r="H4268" s="50"/>
      <c r="I4268" s="50"/>
      <c r="J4268" s="49"/>
      <c r="K4268" s="49" t="str">
        <f t="shared" si="255"/>
        <v>K(a) Bogen =&gt; Samurai</v>
      </c>
      <c r="L4268" s="49">
        <f t="shared" si="253"/>
        <v>-1</v>
      </c>
      <c r="M4268" s="49"/>
      <c r="N4268" s="49"/>
      <c r="O4268" s="49"/>
      <c r="P4268" s="49"/>
      <c r="Q4268" s="49">
        <v>3</v>
      </c>
      <c r="R4268" s="49" t="s">
        <v>656</v>
      </c>
      <c r="S4268" s="6">
        <v>350</v>
      </c>
      <c r="T4268" s="48">
        <f t="shared" si="254"/>
        <v>512</v>
      </c>
      <c r="U4268" s="48">
        <v>502</v>
      </c>
      <c r="V4268" s="48">
        <f t="shared" si="254"/>
        <v>393</v>
      </c>
    </row>
    <row r="4269" spans="1:22">
      <c r="A4269" s="49"/>
      <c r="B4269" s="7"/>
      <c r="C4269" s="49"/>
      <c r="D4269" s="49"/>
      <c r="E4269" s="49" t="s">
        <v>113</v>
      </c>
      <c r="F4269" s="49">
        <v>40</v>
      </c>
      <c r="G4269" s="49">
        <v>150</v>
      </c>
      <c r="H4269" s="50">
        <f>H4263+384</f>
        <v>1444</v>
      </c>
      <c r="I4269" s="50">
        <f>G4269+512</f>
        <v>662</v>
      </c>
      <c r="J4269" s="49">
        <f>H4269-192</f>
        <v>1252</v>
      </c>
      <c r="K4269" s="49"/>
      <c r="L4269" s="49">
        <f t="shared" si="253"/>
        <v>-1</v>
      </c>
      <c r="M4269" s="49"/>
      <c r="N4269" s="49">
        <f>COUNT(S4269:CA4269)</f>
        <v>4</v>
      </c>
      <c r="O4269" s="49"/>
      <c r="P4269" s="49"/>
      <c r="Q4269" s="49">
        <v>2</v>
      </c>
      <c r="R4269" s="49"/>
      <c r="S4269" s="48">
        <v>0</v>
      </c>
      <c r="T4269" s="48">
        <f t="shared" si="254"/>
        <v>0</v>
      </c>
      <c r="U4269" s="48">
        <f t="shared" si="254"/>
        <v>20</v>
      </c>
      <c r="V4269" s="48">
        <f t="shared" si="254"/>
        <v>40</v>
      </c>
    </row>
    <row r="4270" spans="1:22">
      <c r="A4270" s="49"/>
      <c r="B4270" s="49"/>
      <c r="C4270" s="49"/>
      <c r="D4270" s="48">
        <v>4</v>
      </c>
      <c r="E4270" s="48" t="s">
        <v>15</v>
      </c>
      <c r="F4270" s="6">
        <v>2</v>
      </c>
      <c r="G4270" s="49"/>
      <c r="H4270" s="50"/>
      <c r="I4270" s="50"/>
      <c r="J4270" s="49"/>
      <c r="K4270" s="49" t="str">
        <f t="shared" si="255"/>
        <v>K(a) Schild =&gt; Schurke</v>
      </c>
      <c r="L4270" s="49">
        <f t="shared" si="253"/>
        <v>-1</v>
      </c>
      <c r="M4270" s="49"/>
      <c r="N4270" s="49"/>
      <c r="O4270" s="49"/>
      <c r="P4270" s="49"/>
      <c r="Q4270" s="49">
        <v>3</v>
      </c>
      <c r="R4270" s="49" t="s">
        <v>657</v>
      </c>
      <c r="S4270" s="6">
        <v>350</v>
      </c>
      <c r="T4270" s="48">
        <f t="shared" si="254"/>
        <v>533</v>
      </c>
      <c r="U4270" s="48">
        <v>462</v>
      </c>
      <c r="V4270" s="48">
        <f t="shared" si="254"/>
        <v>385</v>
      </c>
    </row>
    <row r="4271" spans="1:22">
      <c r="A4271" s="13"/>
      <c r="B4271" s="14"/>
      <c r="C4271" s="13"/>
      <c r="D4271" s="49"/>
      <c r="E4271" s="49" t="s">
        <v>113</v>
      </c>
      <c r="F4271" s="49">
        <v>40</v>
      </c>
      <c r="G4271" s="49">
        <f>G4269+768</f>
        <v>918</v>
      </c>
      <c r="H4271" s="50">
        <f>H4269</f>
        <v>1444</v>
      </c>
      <c r="I4271" s="50">
        <f>G4271+512</f>
        <v>1430</v>
      </c>
      <c r="J4271" s="49">
        <f>H4271-192</f>
        <v>1252</v>
      </c>
      <c r="K4271" s="49"/>
      <c r="L4271" s="49">
        <f t="shared" si="253"/>
        <v>-1</v>
      </c>
      <c r="M4271" s="49"/>
      <c r="N4271" s="49">
        <f>COUNT(S4271:CA4271)</f>
        <v>4</v>
      </c>
      <c r="O4271" s="49"/>
      <c r="P4271" s="49"/>
      <c r="Q4271" s="49">
        <v>2</v>
      </c>
      <c r="R4271" s="49"/>
      <c r="S4271" s="48">
        <v>0</v>
      </c>
      <c r="T4271" s="48">
        <f t="shared" si="254"/>
        <v>0</v>
      </c>
      <c r="U4271" s="48">
        <f t="shared" si="254"/>
        <v>20</v>
      </c>
      <c r="V4271" s="48">
        <f t="shared" si="254"/>
        <v>40</v>
      </c>
    </row>
    <row r="4272" spans="1:22">
      <c r="A4272" s="13"/>
      <c r="B4272" s="14"/>
      <c r="C4272" s="13"/>
      <c r="D4272" s="48">
        <v>4</v>
      </c>
      <c r="E4272" s="48" t="s">
        <v>15</v>
      </c>
      <c r="F4272" s="6">
        <v>2</v>
      </c>
      <c r="G4272" s="49"/>
      <c r="H4272" s="50"/>
      <c r="I4272" s="50"/>
      <c r="J4272" s="49"/>
      <c r="K4272" s="49" t="str">
        <f t="shared" si="255"/>
        <v>K(a) Schild =&gt; Samurai</v>
      </c>
      <c r="L4272" s="49">
        <f t="shared" si="253"/>
        <v>-1</v>
      </c>
      <c r="M4272" s="49"/>
      <c r="N4272" s="49"/>
      <c r="O4272" s="49"/>
      <c r="P4272" s="49"/>
      <c r="Q4272" s="49">
        <v>3</v>
      </c>
      <c r="R4272" s="49" t="s">
        <v>659</v>
      </c>
      <c r="S4272" s="6">
        <v>200</v>
      </c>
      <c r="T4272" s="48">
        <f t="shared" si="254"/>
        <v>512</v>
      </c>
      <c r="U4272" s="48">
        <v>224</v>
      </c>
      <c r="V4272" s="48">
        <f t="shared" si="254"/>
        <v>385</v>
      </c>
    </row>
    <row r="4273" spans="1:22">
      <c r="A4273" s="13"/>
      <c r="B4273" s="14"/>
      <c r="C4273" s="13"/>
      <c r="D4273" s="49"/>
      <c r="E4273" s="49" t="s">
        <v>113</v>
      </c>
      <c r="F4273" s="49">
        <v>40</v>
      </c>
      <c r="G4273" s="49">
        <f>G4271+768</f>
        <v>1686</v>
      </c>
      <c r="H4273" s="50">
        <f>H4271</f>
        <v>1444</v>
      </c>
      <c r="I4273" s="50">
        <f>G4273+512</f>
        <v>2198</v>
      </c>
      <c r="J4273" s="49">
        <f>H4273-192</f>
        <v>1252</v>
      </c>
      <c r="K4273" s="49"/>
      <c r="L4273" s="49">
        <f t="shared" si="253"/>
        <v>-1</v>
      </c>
      <c r="M4273" s="49"/>
      <c r="N4273" s="49">
        <f>COUNT(S4273:CA4273)</f>
        <v>4</v>
      </c>
      <c r="O4273" s="49"/>
      <c r="P4273" s="49"/>
      <c r="Q4273" s="49">
        <v>2</v>
      </c>
      <c r="R4273" s="49"/>
      <c r="S4273" s="48">
        <v>0</v>
      </c>
      <c r="T4273" s="48">
        <f t="shared" si="254"/>
        <v>0</v>
      </c>
      <c r="U4273" s="48">
        <f t="shared" si="254"/>
        <v>25</v>
      </c>
      <c r="V4273" s="48">
        <f t="shared" si="254"/>
        <v>50</v>
      </c>
    </row>
    <row r="4274" spans="1:22">
      <c r="A4274" s="49"/>
      <c r="B4274" s="49"/>
      <c r="C4274" s="49"/>
      <c r="D4274" s="48">
        <v>4</v>
      </c>
      <c r="E4274" s="48" t="s">
        <v>15</v>
      </c>
      <c r="F4274" s="6">
        <v>5</v>
      </c>
      <c r="G4274" s="49"/>
      <c r="H4274" s="50"/>
      <c r="I4274" s="50"/>
      <c r="J4274" s="49"/>
      <c r="K4274" s="49" t="str">
        <f t="shared" si="255"/>
        <v>K(a) Schurke =&gt; Samurai</v>
      </c>
      <c r="L4274" s="49">
        <f t="shared" si="253"/>
        <v>-1</v>
      </c>
      <c r="M4274" s="49"/>
      <c r="N4274" s="49"/>
      <c r="O4274" s="49"/>
      <c r="P4274" s="49"/>
      <c r="Q4274" s="49">
        <v>3</v>
      </c>
      <c r="R4274" s="49" t="s">
        <v>653</v>
      </c>
      <c r="S4274" s="6">
        <v>400</v>
      </c>
      <c r="T4274" s="48">
        <f>T4262</f>
        <v>512</v>
      </c>
      <c r="U4274" s="48">
        <v>445</v>
      </c>
      <c r="V4274" s="48">
        <f>V4262</f>
        <v>533</v>
      </c>
    </row>
    <row r="4275" spans="1:22">
      <c r="A4275" s="49"/>
      <c r="B4275" s="49"/>
      <c r="C4275" s="49"/>
      <c r="D4275" s="48">
        <v>4</v>
      </c>
      <c r="E4275" s="48" t="s">
        <v>15</v>
      </c>
      <c r="F4275" s="6">
        <v>3</v>
      </c>
      <c r="G4275" s="49"/>
      <c r="H4275" s="50"/>
      <c r="I4275" s="50"/>
      <c r="J4275" s="49"/>
      <c r="K4275" s="49"/>
      <c r="L4275" s="49"/>
      <c r="M4275" s="49"/>
      <c r="N4275" s="49"/>
      <c r="O4275" s="49"/>
      <c r="P4275" s="49"/>
      <c r="Q4275" s="49"/>
      <c r="R4275" s="49"/>
      <c r="S4275" s="6"/>
      <c r="T4275" s="48"/>
      <c r="U4275" s="48"/>
      <c r="V4275" s="48"/>
    </row>
    <row r="4276" spans="1:22">
      <c r="A4276" s="49"/>
      <c r="B4276" s="49"/>
      <c r="C4276" s="49"/>
      <c r="D4276" s="13">
        <f>D4285</f>
        <v>11</v>
      </c>
      <c r="E4276" s="48" t="str">
        <f>E4285</f>
        <v>Chord</v>
      </c>
      <c r="F4276" s="49">
        <f t="shared" ref="F4276:M4276" si="256">F4294</f>
        <v>484</v>
      </c>
      <c r="G4276" s="49">
        <f t="shared" si="256"/>
        <v>918</v>
      </c>
      <c r="H4276" s="49">
        <f t="shared" si="256"/>
        <v>635</v>
      </c>
      <c r="I4276" s="49">
        <f t="shared" si="256"/>
        <v>1430</v>
      </c>
      <c r="J4276" s="49">
        <f t="shared" si="256"/>
        <v>472.90501226520132</v>
      </c>
      <c r="K4276" s="49">
        <f t="shared" si="256"/>
        <v>-860.04728161777746</v>
      </c>
      <c r="L4276" s="49">
        <f t="shared" si="256"/>
        <v>3653.9247749688411</v>
      </c>
      <c r="M4276" s="49">
        <f t="shared" si="256"/>
        <v>2320.9724810858625</v>
      </c>
      <c r="N4276" s="49"/>
      <c r="O4276" s="49"/>
      <c r="P4276" s="49"/>
      <c r="Q4276" s="49"/>
      <c r="R4276" s="49"/>
      <c r="S4276" s="49"/>
      <c r="T4276" s="49"/>
      <c r="U4276" s="49"/>
      <c r="V4276" s="49"/>
    </row>
    <row r="4277" spans="1:22">
      <c r="A4277" s="49"/>
      <c r="B4277" s="49"/>
      <c r="C4277" s="49"/>
      <c r="D4277" s="13">
        <f>D4286</f>
        <v>11</v>
      </c>
      <c r="E4277" s="48" t="str">
        <f>E4286</f>
        <v>Chord</v>
      </c>
      <c r="F4277" s="49">
        <f t="shared" ref="F4277:M4280" si="257">F4296</f>
        <v>1025</v>
      </c>
      <c r="G4277" s="49">
        <f t="shared" si="257"/>
        <v>150</v>
      </c>
      <c r="H4277" s="49">
        <f t="shared" si="257"/>
        <v>1017</v>
      </c>
      <c r="I4277" s="49">
        <f t="shared" si="257"/>
        <v>662</v>
      </c>
      <c r="J4277" s="49">
        <f t="shared" si="257"/>
        <v>867.99203595103404</v>
      </c>
      <c r="K4277" s="49">
        <f t="shared" si="257"/>
        <v>117.4217234510341</v>
      </c>
      <c r="L4277" s="49">
        <f t="shared" si="257"/>
        <v>1449.4524084934103</v>
      </c>
      <c r="M4277" s="49">
        <f t="shared" si="257"/>
        <v>698.8820959934103</v>
      </c>
      <c r="N4277" s="49"/>
      <c r="O4277" s="49"/>
      <c r="P4277" s="49"/>
      <c r="Q4277" s="49"/>
      <c r="R4277" s="49"/>
      <c r="S4277" s="49"/>
      <c r="T4277" s="49"/>
      <c r="U4277" s="49"/>
      <c r="V4277" s="49"/>
    </row>
    <row r="4278" spans="1:22">
      <c r="A4278" s="49"/>
      <c r="B4278" s="49"/>
      <c r="C4278" s="49"/>
      <c r="D4278" s="13">
        <f t="shared" ref="D4278:E4280" si="258">D4277</f>
        <v>11</v>
      </c>
      <c r="E4278" s="48" t="str">
        <f t="shared" si="258"/>
        <v>Chord</v>
      </c>
      <c r="F4278" s="49">
        <f t="shared" si="257"/>
        <v>868</v>
      </c>
      <c r="G4278" s="49">
        <f t="shared" si="257"/>
        <v>918</v>
      </c>
      <c r="H4278" s="49">
        <f t="shared" si="257"/>
        <v>1015</v>
      </c>
      <c r="I4278" s="49">
        <f t="shared" si="257"/>
        <v>1430</v>
      </c>
      <c r="J4278" s="49">
        <f t="shared" si="257"/>
        <v>854.61029766816728</v>
      </c>
      <c r="K4278" s="49">
        <f t="shared" si="257"/>
        <v>-1022.4320351806697</v>
      </c>
      <c r="L4278" s="49">
        <f t="shared" si="257"/>
        <v>4306.3431907039248</v>
      </c>
      <c r="M4278" s="49">
        <f t="shared" si="257"/>
        <v>2429.3008578550885</v>
      </c>
      <c r="N4278" s="49"/>
      <c r="O4278" s="49"/>
      <c r="P4278" s="49"/>
      <c r="Q4278" s="49"/>
      <c r="R4278" s="49"/>
      <c r="S4278" s="49"/>
      <c r="T4278" s="49"/>
      <c r="U4278" s="49"/>
      <c r="V4278" s="49"/>
    </row>
    <row r="4279" spans="1:22">
      <c r="A4279" s="49"/>
      <c r="B4279" s="49"/>
      <c r="C4279" s="49"/>
      <c r="D4279" s="13">
        <f t="shared" si="258"/>
        <v>11</v>
      </c>
      <c r="E4279" s="48" t="str">
        <f t="shared" si="258"/>
        <v>Chord</v>
      </c>
      <c r="F4279" s="49">
        <f t="shared" si="257"/>
        <v>868</v>
      </c>
      <c r="G4279" s="49">
        <f t="shared" si="257"/>
        <v>1686</v>
      </c>
      <c r="H4279" s="49">
        <f t="shared" si="257"/>
        <v>1009</v>
      </c>
      <c r="I4279" s="49">
        <f t="shared" si="257"/>
        <v>2198</v>
      </c>
      <c r="J4279" s="49">
        <f t="shared" si="257"/>
        <v>860.56959628915888</v>
      </c>
      <c r="K4279" s="49">
        <f t="shared" si="257"/>
        <v>1132.8020348575349</v>
      </c>
      <c r="L4279" s="49">
        <f t="shared" si="257"/>
        <v>2163.1654464458843</v>
      </c>
      <c r="M4279" s="49">
        <f t="shared" si="257"/>
        <v>2435.3978850142603</v>
      </c>
      <c r="N4279" s="49"/>
      <c r="O4279" s="49"/>
      <c r="P4279" s="49"/>
      <c r="Q4279" s="49"/>
      <c r="R4279" s="49"/>
      <c r="S4279" s="49"/>
      <c r="T4279" s="49"/>
      <c r="U4279" s="49"/>
      <c r="V4279" s="49"/>
    </row>
    <row r="4280" spans="1:22">
      <c r="A4280" s="49"/>
      <c r="B4280" s="49"/>
      <c r="C4280" s="49"/>
      <c r="D4280" s="13">
        <f t="shared" si="258"/>
        <v>11</v>
      </c>
      <c r="E4280" s="48" t="s">
        <v>448</v>
      </c>
      <c r="F4280" s="49">
        <f t="shared" si="257"/>
        <v>1252</v>
      </c>
      <c r="G4280" s="49">
        <f t="shared" si="257"/>
        <v>150</v>
      </c>
      <c r="H4280" s="49">
        <f t="shared" si="257"/>
        <v>1407</v>
      </c>
      <c r="I4280" s="49">
        <f t="shared" si="257"/>
        <v>662</v>
      </c>
      <c r="J4280" s="49">
        <f t="shared" si="257"/>
        <v>868.1572926796398</v>
      </c>
      <c r="K4280" s="49">
        <f t="shared" si="257"/>
        <v>-13367.426970713219</v>
      </c>
      <c r="L4280" s="49">
        <f t="shared" si="257"/>
        <v>22227.985564463219</v>
      </c>
      <c r="M4280" s="49">
        <f t="shared" si="257"/>
        <v>7992.4013010703602</v>
      </c>
      <c r="N4280" s="49"/>
      <c r="O4280" s="49"/>
      <c r="P4280" s="49"/>
      <c r="Q4280" s="49"/>
      <c r="R4280" s="49"/>
      <c r="S4280" s="49"/>
      <c r="T4280" s="49"/>
      <c r="U4280" s="49"/>
      <c r="V4280" s="49"/>
    </row>
    <row r="4281" spans="1:22">
      <c r="A4281" s="49"/>
      <c r="B4281" s="49"/>
      <c r="C4281" s="49"/>
      <c r="D4281" s="48">
        <v>4</v>
      </c>
      <c r="E4281" s="48" t="s">
        <v>15</v>
      </c>
      <c r="F4281" s="6">
        <v>4</v>
      </c>
      <c r="G4281" s="49"/>
      <c r="H4281" s="49"/>
      <c r="I4281" s="49"/>
      <c r="J4281" s="49"/>
      <c r="K4281" s="49"/>
      <c r="L4281" s="49"/>
      <c r="M4281" s="49"/>
      <c r="N4281" s="49"/>
      <c r="O4281" s="49"/>
      <c r="P4281" s="49"/>
      <c r="Q4281" s="49"/>
      <c r="R4281" s="49"/>
      <c r="S4281" s="49"/>
      <c r="T4281" s="49"/>
      <c r="U4281" s="49"/>
      <c r="V4281" s="49"/>
    </row>
    <row r="4282" spans="1:22">
      <c r="A4282" s="49"/>
      <c r="B4282" s="49"/>
      <c r="C4282" s="49"/>
      <c r="D4282" s="13">
        <v>11</v>
      </c>
      <c r="E4282" s="48" t="s">
        <v>99</v>
      </c>
      <c r="F4282" s="49">
        <f t="shared" ref="F4282:M4285" si="259">F4290</f>
        <v>100</v>
      </c>
      <c r="G4282" s="49">
        <f t="shared" si="259"/>
        <v>662</v>
      </c>
      <c r="H4282" s="49">
        <f t="shared" si="259"/>
        <v>117</v>
      </c>
      <c r="I4282" s="49">
        <f t="shared" si="259"/>
        <v>150</v>
      </c>
      <c r="J4282" s="49">
        <f t="shared" si="259"/>
        <v>-321.75450989890163</v>
      </c>
      <c r="K4282" s="49">
        <f t="shared" si="259"/>
        <v>109.99395321585246</v>
      </c>
      <c r="L4282" s="49">
        <f t="shared" si="259"/>
        <v>261.03647711201637</v>
      </c>
      <c r="M4282" s="49">
        <f t="shared" si="259"/>
        <v>692.78494022677046</v>
      </c>
      <c r="N4282" s="49"/>
      <c r="O4282" s="49"/>
      <c r="P4282" s="49"/>
      <c r="Q4282" s="48"/>
      <c r="R4282" s="48"/>
      <c r="S4282" s="48"/>
      <c r="T4282" s="48"/>
      <c r="U4282" s="49"/>
      <c r="V4282" s="49"/>
    </row>
    <row r="4283" spans="1:22">
      <c r="A4283" s="49"/>
      <c r="B4283" s="49"/>
      <c r="C4283" s="49"/>
      <c r="D4283" s="13">
        <f>D4282</f>
        <v>11</v>
      </c>
      <c r="E4283" s="48" t="str">
        <f>E4282</f>
        <v>Chord</v>
      </c>
      <c r="F4283" s="49">
        <f t="shared" si="259"/>
        <v>247</v>
      </c>
      <c r="G4283" s="49">
        <f t="shared" si="259"/>
        <v>1430</v>
      </c>
      <c r="H4283" s="49">
        <f t="shared" si="259"/>
        <v>100</v>
      </c>
      <c r="I4283" s="49">
        <f t="shared" si="259"/>
        <v>918</v>
      </c>
      <c r="J4283" s="49">
        <f t="shared" si="259"/>
        <v>-1315.9411045939428</v>
      </c>
      <c r="K4283" s="49">
        <f t="shared" si="259"/>
        <v>594.63810771275837</v>
      </c>
      <c r="L4283" s="49">
        <f t="shared" si="259"/>
        <v>248.79677469703552</v>
      </c>
      <c r="M4283" s="49">
        <f t="shared" si="259"/>
        <v>2159.3759870037366</v>
      </c>
      <c r="N4283" s="49"/>
      <c r="O4283" s="49"/>
      <c r="P4283" s="49"/>
      <c r="Q4283" s="48"/>
      <c r="R4283" s="48"/>
      <c r="S4283" s="48"/>
      <c r="T4283" s="48"/>
      <c r="U4283" s="49"/>
      <c r="V4283" s="49"/>
    </row>
    <row r="4284" spans="1:22">
      <c r="A4284" s="49"/>
      <c r="B4284" s="49"/>
      <c r="C4284" s="49"/>
      <c r="D4284" s="13">
        <f t="shared" ref="D4284:E4288" si="260">D4283</f>
        <v>11</v>
      </c>
      <c r="E4284" s="48" t="str">
        <f t="shared" si="260"/>
        <v>Chord</v>
      </c>
      <c r="F4284" s="49">
        <f t="shared" si="259"/>
        <v>208</v>
      </c>
      <c r="G4284" s="49">
        <f t="shared" si="259"/>
        <v>2198</v>
      </c>
      <c r="H4284" s="49">
        <f t="shared" si="259"/>
        <v>100</v>
      </c>
      <c r="I4284" s="49">
        <f t="shared" si="259"/>
        <v>1686</v>
      </c>
      <c r="J4284" s="49">
        <f t="shared" si="259"/>
        <v>-603.94850454505399</v>
      </c>
      <c r="K4284" s="49">
        <f t="shared" si="259"/>
        <v>1584.3994092598909</v>
      </c>
      <c r="L4284" s="49">
        <f t="shared" si="259"/>
        <v>250.72872432527384</v>
      </c>
      <c r="M4284" s="49">
        <f t="shared" si="259"/>
        <v>2439.0766381302187</v>
      </c>
      <c r="N4284" s="49"/>
      <c r="O4284" s="49"/>
      <c r="P4284" s="49"/>
      <c r="Q4284" s="48"/>
      <c r="R4284" s="48"/>
      <c r="S4284" s="48"/>
      <c r="T4284" s="48"/>
      <c r="U4284" s="49"/>
      <c r="V4284" s="49"/>
    </row>
    <row r="4285" spans="1:22">
      <c r="A4285" s="49"/>
      <c r="B4285" s="49"/>
      <c r="C4285" s="49"/>
      <c r="D4285" s="13">
        <f t="shared" si="260"/>
        <v>11</v>
      </c>
      <c r="E4285" s="48" t="str">
        <f t="shared" si="260"/>
        <v>Chord</v>
      </c>
      <c r="F4285" s="49">
        <f t="shared" si="259"/>
        <v>639</v>
      </c>
      <c r="G4285" s="49">
        <f t="shared" si="259"/>
        <v>662</v>
      </c>
      <c r="H4285" s="49">
        <f t="shared" si="259"/>
        <v>484</v>
      </c>
      <c r="I4285" s="49">
        <f t="shared" si="259"/>
        <v>150</v>
      </c>
      <c r="J4285" s="49">
        <f t="shared" si="259"/>
        <v>-1079.4096704843153</v>
      </c>
      <c r="K4285" s="49">
        <f t="shared" si="259"/>
        <v>-216.69833797027036</v>
      </c>
      <c r="L4285" s="49">
        <f t="shared" si="259"/>
        <v>639.21865924836027</v>
      </c>
      <c r="M4285" s="49">
        <f t="shared" si="259"/>
        <v>1501.9299917624053</v>
      </c>
      <c r="N4285" s="49"/>
      <c r="O4285" s="49"/>
      <c r="P4285" s="49"/>
      <c r="Q4285" s="48"/>
      <c r="R4285" s="48"/>
      <c r="S4285" s="48"/>
      <c r="T4285" s="48"/>
      <c r="U4285" s="49"/>
      <c r="V4285" s="49"/>
    </row>
    <row r="4286" spans="1:22">
      <c r="A4286" s="49"/>
      <c r="B4286" s="7"/>
      <c r="C4286" s="49"/>
      <c r="D4286" s="13">
        <f>D4276</f>
        <v>11</v>
      </c>
      <c r="E4286" s="48" t="str">
        <f t="shared" si="260"/>
        <v>Chord</v>
      </c>
      <c r="F4286" s="49">
        <f t="shared" ref="F4286:M4286" si="261">F4295</f>
        <v>484</v>
      </c>
      <c r="G4286" s="49">
        <f t="shared" si="261"/>
        <v>2198</v>
      </c>
      <c r="H4286" s="49">
        <f t="shared" si="261"/>
        <v>533</v>
      </c>
      <c r="I4286" s="49">
        <f t="shared" si="261"/>
        <v>1686</v>
      </c>
      <c r="J4286" s="49">
        <f t="shared" si="261"/>
        <v>-59.873756147010795</v>
      </c>
      <c r="K4286" s="49">
        <f t="shared" si="261"/>
        <v>1577.6325139710148</v>
      </c>
      <c r="L4286" s="49">
        <f t="shared" si="261"/>
        <v>625.68062309980053</v>
      </c>
      <c r="M4286" s="49">
        <f t="shared" si="261"/>
        <v>2263.1868932178263</v>
      </c>
      <c r="N4286" s="49"/>
      <c r="O4286" s="49"/>
      <c r="P4286" s="49"/>
      <c r="Q4286" s="48"/>
      <c r="R4286" s="48"/>
      <c r="S4286" s="48"/>
      <c r="T4286" s="48"/>
      <c r="U4286" s="49"/>
      <c r="V4286" s="49"/>
    </row>
    <row r="4287" spans="1:22">
      <c r="A4287" s="49"/>
      <c r="B4287" s="7"/>
      <c r="C4287" s="49"/>
      <c r="D4287" s="13">
        <f>D4280</f>
        <v>11</v>
      </c>
      <c r="E4287" s="48" t="str">
        <f t="shared" si="260"/>
        <v>Chord</v>
      </c>
      <c r="F4287" s="49">
        <f t="shared" ref="F4287:M4288" si="262">F4300</f>
        <v>1330</v>
      </c>
      <c r="G4287" s="49">
        <f t="shared" si="262"/>
        <v>1430</v>
      </c>
      <c r="H4287" s="49">
        <f t="shared" si="262"/>
        <v>1252</v>
      </c>
      <c r="I4287" s="49">
        <f t="shared" si="262"/>
        <v>918</v>
      </c>
      <c r="J4287" s="49">
        <f t="shared" si="262"/>
        <v>803.95604154936484</v>
      </c>
      <c r="K4287" s="49">
        <f t="shared" si="262"/>
        <v>887.41792730570535</v>
      </c>
      <c r="L4287" s="49">
        <f t="shared" si="262"/>
        <v>1430.1236685955628</v>
      </c>
      <c r="M4287" s="49">
        <f t="shared" si="262"/>
        <v>1513.5855543519033</v>
      </c>
      <c r="N4287" s="49"/>
      <c r="O4287" s="49"/>
      <c r="P4287" s="49"/>
      <c r="Q4287" s="48"/>
      <c r="R4287" s="48"/>
      <c r="S4287" s="48"/>
      <c r="T4287" s="48"/>
      <c r="U4287" s="49"/>
      <c r="V4287" s="49"/>
    </row>
    <row r="4288" spans="1:22">
      <c r="A4288" s="49"/>
      <c r="B4288" s="7"/>
      <c r="C4288" s="49"/>
      <c r="D4288" s="13">
        <f>D4287</f>
        <v>11</v>
      </c>
      <c r="E4288" s="48" t="str">
        <f t="shared" si="260"/>
        <v>Chord</v>
      </c>
      <c r="F4288" s="49">
        <f t="shared" si="262"/>
        <v>1252</v>
      </c>
      <c r="G4288" s="49">
        <f t="shared" si="262"/>
        <v>2198</v>
      </c>
      <c r="H4288" s="49">
        <f t="shared" si="262"/>
        <v>1282</v>
      </c>
      <c r="I4288" s="49">
        <f t="shared" si="262"/>
        <v>1686</v>
      </c>
      <c r="J4288" s="49">
        <f t="shared" si="262"/>
        <v>679.57116068919959</v>
      </c>
      <c r="K4288" s="49">
        <f t="shared" si="262"/>
        <v>1578.2265910742442</v>
      </c>
      <c r="L4288" s="49">
        <f t="shared" si="262"/>
        <v>1379.2770535965146</v>
      </c>
      <c r="M4288" s="49">
        <f t="shared" si="262"/>
        <v>2277.932483981559</v>
      </c>
      <c r="N4288" s="49"/>
      <c r="O4288" s="49"/>
      <c r="P4288" s="49"/>
      <c r="Q4288" s="48"/>
      <c r="R4288" s="48"/>
      <c r="S4288" s="48"/>
      <c r="T4288" s="48"/>
      <c r="U4288" s="49"/>
      <c r="V4288" s="49"/>
    </row>
    <row r="4289" spans="1:22">
      <c r="A4289" s="49"/>
      <c r="B4289" s="49"/>
      <c r="C4289" s="49"/>
      <c r="D4289" s="49">
        <v>4</v>
      </c>
      <c r="E4289" s="49" t="s">
        <v>15</v>
      </c>
      <c r="F4289" s="49">
        <v>1</v>
      </c>
      <c r="G4289" s="49"/>
      <c r="H4289" s="49"/>
      <c r="I4289" s="49"/>
      <c r="J4289" s="49"/>
      <c r="K4289" s="49"/>
      <c r="L4289" s="49"/>
      <c r="M4289" s="49"/>
      <c r="N4289" s="49"/>
      <c r="O4289" s="49"/>
      <c r="P4289" s="49"/>
      <c r="Q4289" s="48"/>
      <c r="R4289" s="48"/>
      <c r="S4289" s="48"/>
      <c r="T4289" s="48"/>
      <c r="U4289" s="49"/>
      <c r="V4289" s="49"/>
    </row>
    <row r="4290" spans="1:22">
      <c r="A4290" s="13">
        <f t="shared" ref="A4290:A4301" si="263">((O4290^2-G4290^2+N4290^2-F4290^2)*(I4290-G4290)-(I4290^2-G4290^2+H4290^2-F4290^2)*(O4290-G4290))/(2*((N4290-F4290)*(I4290-G4290)-(H4290-F4290)*(O4290-G4290)))</f>
        <v>-30.359016393442623</v>
      </c>
      <c r="B4290" s="14">
        <f t="shared" ref="B4290:B4301" si="264">(I4290^2-G4290^2+H4290^2-F4290^2-2*A4290*(H4290-F4290))/(2*(I4290-G4290))</f>
        <v>401.38944672131146</v>
      </c>
      <c r="C4290" s="13">
        <f t="shared" ref="C4290:C4301" si="265">SQRT((F4290-A4290)^2+(G4290-B4290)^2)</f>
        <v>291.395493505459</v>
      </c>
      <c r="D4290" s="13">
        <v>11</v>
      </c>
      <c r="E4290" s="13" t="s">
        <v>98</v>
      </c>
      <c r="F4290" s="28">
        <f t="shared" ref="F4290:F4295" si="266">L4315</f>
        <v>100</v>
      </c>
      <c r="G4290" s="28">
        <f t="shared" ref="G4290:G4295" si="267">K4315</f>
        <v>662</v>
      </c>
      <c r="H4290" s="28">
        <f t="shared" ref="H4290:H4301" si="268">H4315</f>
        <v>117</v>
      </c>
      <c r="I4290" s="28">
        <f t="shared" ref="I4290:I4295" si="269">G4315</f>
        <v>150</v>
      </c>
      <c r="J4290" s="13">
        <f t="shared" ref="J4290:J4301" si="270">A4290-C4290</f>
        <v>-321.75450989890163</v>
      </c>
      <c r="K4290" s="13">
        <f t="shared" ref="K4290:K4301" si="271">B4290-C4290</f>
        <v>109.99395321585246</v>
      </c>
      <c r="L4290" s="13">
        <f t="shared" ref="L4290:L4301" si="272">A4290+C4290</f>
        <v>261.03647711201637</v>
      </c>
      <c r="M4290" s="13">
        <f t="shared" ref="M4290:M4301" si="273">B4290+C4290</f>
        <v>692.78494022677046</v>
      </c>
      <c r="N4290" s="15">
        <f t="shared" ref="N4290:N4301" si="274">J4315</f>
        <v>261</v>
      </c>
      <c r="O4290" s="15">
        <f t="shared" ref="O4290:O4301" si="275">I4315</f>
        <v>406</v>
      </c>
      <c r="P4290" s="49"/>
      <c r="Q4290" s="48"/>
      <c r="R4290" s="48"/>
      <c r="S4290" s="48"/>
      <c r="T4290" s="48"/>
      <c r="U4290" s="49"/>
      <c r="V4290" s="49"/>
    </row>
    <row r="4291" spans="1:22">
      <c r="A4291" s="13">
        <f t="shared" si="263"/>
        <v>-533.57216494845363</v>
      </c>
      <c r="B4291" s="14">
        <f t="shared" si="264"/>
        <v>1377.0070473582475</v>
      </c>
      <c r="C4291" s="13">
        <f t="shared" si="265"/>
        <v>782.36893964548915</v>
      </c>
      <c r="D4291" s="13">
        <f>D4290</f>
        <v>11</v>
      </c>
      <c r="E4291" s="13" t="s">
        <v>98</v>
      </c>
      <c r="F4291" s="28">
        <f t="shared" si="266"/>
        <v>247</v>
      </c>
      <c r="G4291" s="28">
        <f t="shared" si="267"/>
        <v>1430</v>
      </c>
      <c r="H4291" s="28">
        <f t="shared" si="268"/>
        <v>100</v>
      </c>
      <c r="I4291" s="28">
        <f t="shared" si="269"/>
        <v>918</v>
      </c>
      <c r="J4291" s="13">
        <f t="shared" si="270"/>
        <v>-1315.9411045939428</v>
      </c>
      <c r="K4291" s="13">
        <f t="shared" si="271"/>
        <v>594.63810771275837</v>
      </c>
      <c r="L4291" s="13">
        <f t="shared" si="272"/>
        <v>248.79677469703552</v>
      </c>
      <c r="M4291" s="13">
        <f t="shared" si="273"/>
        <v>2159.3759870037366</v>
      </c>
      <c r="N4291" s="15">
        <f t="shared" si="274"/>
        <v>222</v>
      </c>
      <c r="O4291" s="15">
        <f t="shared" si="275"/>
        <v>1174</v>
      </c>
      <c r="P4291" s="49"/>
      <c r="Q4291" s="48"/>
      <c r="R4291" s="48"/>
      <c r="S4291" s="48"/>
      <c r="T4291" s="48"/>
      <c r="U4291" s="49"/>
      <c r="V4291" s="49"/>
    </row>
    <row r="4292" spans="1:22">
      <c r="A4292" s="13">
        <f t="shared" si="263"/>
        <v>-176.6098901098901</v>
      </c>
      <c r="B4292" s="14">
        <f t="shared" si="264"/>
        <v>2011.7380236950548</v>
      </c>
      <c r="C4292" s="13">
        <f t="shared" si="265"/>
        <v>427.33861443516395</v>
      </c>
      <c r="D4292" s="13">
        <f>D4291</f>
        <v>11</v>
      </c>
      <c r="E4292" s="13" t="s">
        <v>98</v>
      </c>
      <c r="F4292" s="28">
        <f t="shared" si="266"/>
        <v>208</v>
      </c>
      <c r="G4292" s="28">
        <f t="shared" si="267"/>
        <v>2198</v>
      </c>
      <c r="H4292" s="28">
        <f t="shared" si="268"/>
        <v>100</v>
      </c>
      <c r="I4292" s="28">
        <f t="shared" si="269"/>
        <v>1686</v>
      </c>
      <c r="J4292" s="13">
        <f t="shared" si="270"/>
        <v>-603.94850454505399</v>
      </c>
      <c r="K4292" s="13">
        <f t="shared" si="271"/>
        <v>1584.3994092598909</v>
      </c>
      <c r="L4292" s="13">
        <f t="shared" si="272"/>
        <v>250.72872432527384</v>
      </c>
      <c r="M4292" s="13">
        <f t="shared" si="273"/>
        <v>2439.0766381302187</v>
      </c>
      <c r="N4292" s="15">
        <f t="shared" si="274"/>
        <v>245</v>
      </c>
      <c r="O4292" s="15">
        <f t="shared" si="275"/>
        <v>1942</v>
      </c>
      <c r="P4292" s="49"/>
      <c r="Q4292" s="48"/>
      <c r="R4292" s="48"/>
      <c r="S4292" s="48"/>
      <c r="T4292" s="48"/>
      <c r="U4292" s="49"/>
      <c r="V4292" s="49"/>
    </row>
    <row r="4293" spans="1:22">
      <c r="A4293" s="13">
        <f t="shared" si="263"/>
        <v>-220.09550561797752</v>
      </c>
      <c r="B4293" s="14">
        <f t="shared" si="264"/>
        <v>642.61582689606746</v>
      </c>
      <c r="C4293" s="13">
        <f t="shared" si="265"/>
        <v>859.31416486633782</v>
      </c>
      <c r="D4293" s="13">
        <f>D4292</f>
        <v>11</v>
      </c>
      <c r="E4293" s="13" t="s">
        <v>98</v>
      </c>
      <c r="F4293" s="28">
        <f t="shared" si="266"/>
        <v>639</v>
      </c>
      <c r="G4293" s="28">
        <f t="shared" si="267"/>
        <v>662</v>
      </c>
      <c r="H4293" s="28">
        <f t="shared" si="268"/>
        <v>484</v>
      </c>
      <c r="I4293" s="28">
        <f t="shared" si="269"/>
        <v>150</v>
      </c>
      <c r="J4293" s="13">
        <f t="shared" si="270"/>
        <v>-1079.4096704843153</v>
      </c>
      <c r="K4293" s="13">
        <f t="shared" si="271"/>
        <v>-216.69833797027036</v>
      </c>
      <c r="L4293" s="13">
        <f t="shared" si="272"/>
        <v>639.21865924836027</v>
      </c>
      <c r="M4293" s="13">
        <f t="shared" si="273"/>
        <v>1501.9299917624053</v>
      </c>
      <c r="N4293" s="15">
        <f t="shared" si="274"/>
        <v>606</v>
      </c>
      <c r="O4293" s="15">
        <f t="shared" si="275"/>
        <v>406</v>
      </c>
      <c r="P4293" s="49"/>
      <c r="Q4293" s="48"/>
      <c r="R4293" s="48"/>
      <c r="S4293" s="48"/>
      <c r="T4293" s="48"/>
      <c r="U4293" s="49"/>
      <c r="V4293" s="49"/>
    </row>
    <row r="4294" spans="1:22">
      <c r="A4294" s="13">
        <f t="shared" si="263"/>
        <v>2063.4148936170213</v>
      </c>
      <c r="B4294" s="14">
        <f t="shared" si="264"/>
        <v>730.46259973404256</v>
      </c>
      <c r="C4294" s="13">
        <f t="shared" si="265"/>
        <v>1590.50988135182</v>
      </c>
      <c r="D4294" s="13">
        <f>D4293</f>
        <v>11</v>
      </c>
      <c r="E4294" s="13" t="s">
        <v>98</v>
      </c>
      <c r="F4294" s="28">
        <f>H4319</f>
        <v>484</v>
      </c>
      <c r="G4294" s="28">
        <f>G4319</f>
        <v>918</v>
      </c>
      <c r="H4294" s="28">
        <f>L4319</f>
        <v>635</v>
      </c>
      <c r="I4294" s="28">
        <f>K4319</f>
        <v>1430</v>
      </c>
      <c r="J4294" s="13">
        <f t="shared" si="270"/>
        <v>472.90501226520132</v>
      </c>
      <c r="K4294" s="13">
        <f t="shared" si="271"/>
        <v>-860.04728161777746</v>
      </c>
      <c r="L4294" s="13">
        <f t="shared" si="272"/>
        <v>3653.9247749688411</v>
      </c>
      <c r="M4294" s="13">
        <f t="shared" si="273"/>
        <v>2320.9724810858625</v>
      </c>
      <c r="N4294" s="15">
        <f t="shared" si="274"/>
        <v>536</v>
      </c>
      <c r="O4294" s="15">
        <f t="shared" si="275"/>
        <v>1174</v>
      </c>
      <c r="P4294" s="49"/>
      <c r="Q4294" s="48"/>
      <c r="R4294" s="48"/>
      <c r="S4294" s="48"/>
      <c r="T4294" s="48"/>
      <c r="U4294" s="49"/>
      <c r="V4294" s="49"/>
    </row>
    <row r="4295" spans="1:22">
      <c r="A4295" s="13">
        <f t="shared" si="263"/>
        <v>282.90343347639487</v>
      </c>
      <c r="B4295" s="14">
        <f t="shared" si="264"/>
        <v>1920.4097035944205</v>
      </c>
      <c r="C4295" s="13">
        <f t="shared" si="265"/>
        <v>342.77718962340566</v>
      </c>
      <c r="D4295" s="13">
        <f>D4294</f>
        <v>11</v>
      </c>
      <c r="E4295" s="13" t="s">
        <v>98</v>
      </c>
      <c r="F4295" s="28">
        <f t="shared" si="266"/>
        <v>484</v>
      </c>
      <c r="G4295" s="28">
        <f t="shared" si="267"/>
        <v>2198</v>
      </c>
      <c r="H4295" s="28">
        <f t="shared" si="268"/>
        <v>533</v>
      </c>
      <c r="I4295" s="28">
        <f t="shared" si="269"/>
        <v>1686</v>
      </c>
      <c r="J4295" s="13">
        <f t="shared" si="270"/>
        <v>-59.873756147010795</v>
      </c>
      <c r="K4295" s="13">
        <f t="shared" si="271"/>
        <v>1577.6325139710148</v>
      </c>
      <c r="L4295" s="13">
        <f t="shared" si="272"/>
        <v>625.68062309980053</v>
      </c>
      <c r="M4295" s="13">
        <f t="shared" si="273"/>
        <v>2263.1868932178263</v>
      </c>
      <c r="N4295" s="15">
        <f t="shared" si="274"/>
        <v>625</v>
      </c>
      <c r="O4295" s="15">
        <f t="shared" si="275"/>
        <v>1942</v>
      </c>
      <c r="P4295" s="49"/>
      <c r="Q4295" s="49"/>
      <c r="R4295" s="49"/>
      <c r="S4295" s="49"/>
      <c r="T4295" s="49"/>
      <c r="U4295" s="49"/>
      <c r="V4295" s="49"/>
    </row>
    <row r="4296" spans="1:22">
      <c r="A4296" s="13">
        <f t="shared" si="263"/>
        <v>1158.7222222222222</v>
      </c>
      <c r="B4296" s="14">
        <f t="shared" si="264"/>
        <v>408.15190972222223</v>
      </c>
      <c r="C4296" s="13">
        <f t="shared" si="265"/>
        <v>290.73018627118813</v>
      </c>
      <c r="D4296" s="13">
        <f t="shared" ref="D4296:D4301" si="276">D4295</f>
        <v>11</v>
      </c>
      <c r="E4296" s="13" t="s">
        <v>98</v>
      </c>
      <c r="F4296" s="28">
        <f>H4321</f>
        <v>1025</v>
      </c>
      <c r="G4296" s="28">
        <f>G4321</f>
        <v>150</v>
      </c>
      <c r="H4296" s="28">
        <f>L4321</f>
        <v>1017</v>
      </c>
      <c r="I4296" s="28">
        <f>K4321</f>
        <v>662</v>
      </c>
      <c r="J4296" s="13">
        <f t="shared" si="270"/>
        <v>867.99203595103404</v>
      </c>
      <c r="K4296" s="13">
        <f t="shared" si="271"/>
        <v>117.4217234510341</v>
      </c>
      <c r="L4296" s="13">
        <f t="shared" si="272"/>
        <v>1449.4524084934103</v>
      </c>
      <c r="M4296" s="13">
        <f t="shared" si="273"/>
        <v>698.8820959934103</v>
      </c>
      <c r="N4296" s="15">
        <f t="shared" si="274"/>
        <v>868</v>
      </c>
      <c r="O4296" s="15">
        <f t="shared" si="275"/>
        <v>406</v>
      </c>
      <c r="P4296" s="49"/>
      <c r="Q4296" s="49"/>
      <c r="R4296" s="49"/>
      <c r="S4296" s="49"/>
      <c r="T4296" s="49"/>
      <c r="U4296" s="49"/>
      <c r="V4296" s="49"/>
    </row>
    <row r="4297" spans="1:22">
      <c r="A4297" s="13">
        <f t="shared" si="263"/>
        <v>2580.4767441860463</v>
      </c>
      <c r="B4297" s="14">
        <f t="shared" si="264"/>
        <v>703.43441133720933</v>
      </c>
      <c r="C4297" s="13">
        <f t="shared" si="265"/>
        <v>1725.866446517879</v>
      </c>
      <c r="D4297" s="13">
        <f t="shared" si="276"/>
        <v>11</v>
      </c>
      <c r="E4297" s="13" t="s">
        <v>98</v>
      </c>
      <c r="F4297" s="28">
        <f>H4322</f>
        <v>868</v>
      </c>
      <c r="G4297" s="28">
        <f>G4322</f>
        <v>918</v>
      </c>
      <c r="H4297" s="28">
        <f>L4322</f>
        <v>1015</v>
      </c>
      <c r="I4297" s="28">
        <f>K4322</f>
        <v>1430</v>
      </c>
      <c r="J4297" s="13">
        <f t="shared" si="270"/>
        <v>854.61029766816728</v>
      </c>
      <c r="K4297" s="13">
        <f t="shared" si="271"/>
        <v>-1022.4320351806697</v>
      </c>
      <c r="L4297" s="13">
        <f t="shared" si="272"/>
        <v>4306.3431907039248</v>
      </c>
      <c r="M4297" s="13">
        <f t="shared" si="273"/>
        <v>2429.3008578550885</v>
      </c>
      <c r="N4297" s="15">
        <f t="shared" si="274"/>
        <v>920</v>
      </c>
      <c r="O4297" s="15">
        <f t="shared" si="275"/>
        <v>1174</v>
      </c>
      <c r="P4297" s="49"/>
      <c r="Q4297" s="49"/>
      <c r="R4297" s="49"/>
      <c r="S4297" s="49"/>
      <c r="T4297" s="49"/>
      <c r="U4297" s="49"/>
      <c r="V4297" s="49"/>
    </row>
    <row r="4298" spans="1:22">
      <c r="A4298" s="13">
        <f t="shared" si="263"/>
        <v>1511.8675213675215</v>
      </c>
      <c r="B4298" s="14">
        <f t="shared" si="264"/>
        <v>1784.0999599358975</v>
      </c>
      <c r="C4298" s="13">
        <f t="shared" si="265"/>
        <v>651.2979250783626</v>
      </c>
      <c r="D4298" s="13">
        <f t="shared" si="276"/>
        <v>11</v>
      </c>
      <c r="E4298" s="13" t="s">
        <v>98</v>
      </c>
      <c r="F4298" s="28">
        <f>H4323</f>
        <v>868</v>
      </c>
      <c r="G4298" s="28">
        <f>G4323</f>
        <v>1686</v>
      </c>
      <c r="H4298" s="28">
        <f>L4323</f>
        <v>1009</v>
      </c>
      <c r="I4298" s="28">
        <f>K4323</f>
        <v>2198</v>
      </c>
      <c r="J4298" s="13">
        <f t="shared" si="270"/>
        <v>860.56959628915888</v>
      </c>
      <c r="K4298" s="13">
        <f t="shared" si="271"/>
        <v>1132.8020348575349</v>
      </c>
      <c r="L4298" s="13">
        <f t="shared" si="272"/>
        <v>2163.1654464458843</v>
      </c>
      <c r="M4298" s="13">
        <f t="shared" si="273"/>
        <v>2435.3978850142603</v>
      </c>
      <c r="N4298" s="15">
        <f t="shared" si="274"/>
        <v>880</v>
      </c>
      <c r="O4298" s="15">
        <f t="shared" si="275"/>
        <v>1942</v>
      </c>
      <c r="P4298" s="49"/>
      <c r="Q4298" s="49"/>
      <c r="R4298" s="49"/>
      <c r="S4298" s="49"/>
      <c r="T4298" s="49"/>
      <c r="U4298" s="49"/>
      <c r="V4298" s="49"/>
    </row>
    <row r="4299" spans="1:22">
      <c r="A4299" s="13">
        <f t="shared" si="263"/>
        <v>11548.071428571429</v>
      </c>
      <c r="B4299" s="14">
        <f t="shared" si="264"/>
        <v>-2687.5128348214289</v>
      </c>
      <c r="C4299" s="13">
        <f t="shared" si="265"/>
        <v>10679.91413589179</v>
      </c>
      <c r="D4299" s="13">
        <f t="shared" si="276"/>
        <v>11</v>
      </c>
      <c r="E4299" s="13" t="s">
        <v>448</v>
      </c>
      <c r="F4299" s="28">
        <f>H4324</f>
        <v>1252</v>
      </c>
      <c r="G4299" s="28">
        <f>G4324</f>
        <v>150</v>
      </c>
      <c r="H4299" s="28">
        <f>L4324</f>
        <v>1407</v>
      </c>
      <c r="I4299" s="28">
        <f>K4324</f>
        <v>662</v>
      </c>
      <c r="J4299" s="13">
        <f t="shared" si="270"/>
        <v>868.1572926796398</v>
      </c>
      <c r="K4299" s="13">
        <f t="shared" si="271"/>
        <v>-13367.426970713219</v>
      </c>
      <c r="L4299" s="13">
        <f t="shared" si="272"/>
        <v>22227.985564463219</v>
      </c>
      <c r="M4299" s="13">
        <f t="shared" si="273"/>
        <v>7992.4013010703602</v>
      </c>
      <c r="N4299" s="15">
        <f t="shared" si="274"/>
        <v>1326</v>
      </c>
      <c r="O4299" s="15">
        <f t="shared" si="275"/>
        <v>406</v>
      </c>
      <c r="P4299" s="49"/>
      <c r="Q4299" s="49"/>
      <c r="R4299" s="49"/>
      <c r="S4299" s="49"/>
      <c r="T4299" s="49"/>
      <c r="U4299" s="49"/>
      <c r="V4299" s="49"/>
    </row>
    <row r="4300" spans="1:22">
      <c r="A4300" s="13">
        <f t="shared" si="263"/>
        <v>1117.0398550724638</v>
      </c>
      <c r="B4300" s="14">
        <f t="shared" si="264"/>
        <v>1200.5017408288043</v>
      </c>
      <c r="C4300" s="13">
        <f t="shared" si="265"/>
        <v>313.08381352309891</v>
      </c>
      <c r="D4300" s="13">
        <f t="shared" si="276"/>
        <v>11</v>
      </c>
      <c r="E4300" s="13" t="s">
        <v>98</v>
      </c>
      <c r="F4300" s="28">
        <f>L4325</f>
        <v>1330</v>
      </c>
      <c r="G4300" s="28">
        <f>K4325</f>
        <v>1430</v>
      </c>
      <c r="H4300" s="28">
        <f t="shared" si="268"/>
        <v>1252</v>
      </c>
      <c r="I4300" s="28">
        <f>G4325</f>
        <v>918</v>
      </c>
      <c r="J4300" s="13">
        <f t="shared" si="270"/>
        <v>803.95604154936484</v>
      </c>
      <c r="K4300" s="13">
        <f t="shared" si="271"/>
        <v>887.41792730570535</v>
      </c>
      <c r="L4300" s="13">
        <f t="shared" si="272"/>
        <v>1430.1236685955628</v>
      </c>
      <c r="M4300" s="13">
        <f t="shared" si="273"/>
        <v>1513.5855543519033</v>
      </c>
      <c r="N4300" s="15">
        <f t="shared" si="274"/>
        <v>1429</v>
      </c>
      <c r="O4300" s="15">
        <f t="shared" si="275"/>
        <v>1174</v>
      </c>
      <c r="P4300" s="49"/>
      <c r="Q4300" s="49"/>
      <c r="R4300" s="49"/>
      <c r="S4300" s="49"/>
      <c r="T4300" s="49"/>
      <c r="U4300" s="49"/>
      <c r="V4300" s="49"/>
    </row>
    <row r="4301" spans="1:22">
      <c r="A4301" s="13">
        <f t="shared" si="263"/>
        <v>1029.4241071428571</v>
      </c>
      <c r="B4301" s="14">
        <f t="shared" si="264"/>
        <v>1928.0795375279017</v>
      </c>
      <c r="C4301" s="13">
        <f t="shared" si="265"/>
        <v>349.85294645365752</v>
      </c>
      <c r="D4301" s="13">
        <f t="shared" si="276"/>
        <v>11</v>
      </c>
      <c r="E4301" s="13" t="s">
        <v>98</v>
      </c>
      <c r="F4301" s="28">
        <f>L4326</f>
        <v>1252</v>
      </c>
      <c r="G4301" s="28">
        <f>K4326</f>
        <v>2198</v>
      </c>
      <c r="H4301" s="28">
        <f t="shared" si="268"/>
        <v>1282</v>
      </c>
      <c r="I4301" s="28">
        <f>G4326</f>
        <v>1686</v>
      </c>
      <c r="J4301" s="13">
        <f t="shared" si="270"/>
        <v>679.57116068919959</v>
      </c>
      <c r="K4301" s="13">
        <f t="shared" si="271"/>
        <v>1578.2265910742442</v>
      </c>
      <c r="L4301" s="13">
        <f t="shared" si="272"/>
        <v>1379.2770535965146</v>
      </c>
      <c r="M4301" s="13">
        <f t="shared" si="273"/>
        <v>2277.932483981559</v>
      </c>
      <c r="N4301" s="15">
        <f t="shared" si="274"/>
        <v>1379</v>
      </c>
      <c r="O4301" s="15">
        <f t="shared" si="275"/>
        <v>1942</v>
      </c>
      <c r="P4301" s="49"/>
      <c r="Q4301" s="49"/>
      <c r="R4301" s="49"/>
      <c r="S4301" s="49"/>
      <c r="T4301" s="49"/>
      <c r="U4301" s="49"/>
      <c r="V4301" s="49"/>
    </row>
    <row r="4302" spans="1:22">
      <c r="A4302" s="13"/>
      <c r="B4302" s="14"/>
      <c r="C4302" s="13"/>
      <c r="D4302" s="49">
        <f t="shared" ref="D4302:D4313" si="277">ROUNDUP(6+F4302/2,0)</f>
        <v>11</v>
      </c>
      <c r="E4302" s="49" t="s">
        <v>6</v>
      </c>
      <c r="F4302" s="49">
        <f t="shared" ref="F4302:F4313" si="278">LEN(G4302)</f>
        <v>10</v>
      </c>
      <c r="G4302" s="49" t="s">
        <v>662</v>
      </c>
      <c r="H4302" s="49">
        <f>J4302+60</f>
        <v>80</v>
      </c>
      <c r="I4302" s="49">
        <v>190</v>
      </c>
      <c r="J4302" s="49">
        <v>20</v>
      </c>
      <c r="K4302" s="13"/>
      <c r="L4302" s="13"/>
      <c r="M4302" s="13"/>
      <c r="N4302" s="15"/>
      <c r="O4302" s="15"/>
      <c r="P4302" s="49"/>
      <c r="Q4302" s="49"/>
      <c r="R4302" s="49"/>
      <c r="S4302" s="49"/>
      <c r="T4302" s="49"/>
      <c r="U4302" s="49"/>
      <c r="V4302" s="49"/>
    </row>
    <row r="4303" spans="1:22">
      <c r="A4303" s="13"/>
      <c r="B4303" s="14"/>
      <c r="C4303" s="13"/>
      <c r="D4303" s="49">
        <f t="shared" si="277"/>
        <v>11</v>
      </c>
      <c r="E4303" s="49" t="s">
        <v>6</v>
      </c>
      <c r="F4303" s="49">
        <f t="shared" si="278"/>
        <v>10</v>
      </c>
      <c r="G4303" s="49" t="str">
        <f>G4302</f>
        <v>Mischkampf</v>
      </c>
      <c r="H4303" s="49">
        <f t="shared" ref="H4303:H4313" si="279">J4303+60</f>
        <v>80</v>
      </c>
      <c r="I4303" s="49">
        <v>958</v>
      </c>
      <c r="J4303" s="49">
        <v>20</v>
      </c>
      <c r="K4303" s="13"/>
      <c r="L4303" s="13"/>
      <c r="M4303" s="13"/>
      <c r="N4303" s="15"/>
      <c r="O4303" s="15"/>
      <c r="P4303" s="49"/>
      <c r="Q4303" s="49"/>
      <c r="R4303" s="49"/>
      <c r="S4303" s="49"/>
      <c r="T4303" s="49"/>
      <c r="U4303" s="49"/>
      <c r="V4303" s="49"/>
    </row>
    <row r="4304" spans="1:22">
      <c r="A4304" s="13"/>
      <c r="B4304" s="14"/>
      <c r="C4304" s="13"/>
      <c r="D4304" s="49">
        <f t="shared" si="277"/>
        <v>11</v>
      </c>
      <c r="E4304" s="49" t="s">
        <v>6</v>
      </c>
      <c r="F4304" s="49">
        <f t="shared" si="278"/>
        <v>10</v>
      </c>
      <c r="G4304" s="49" t="str">
        <f>G4303</f>
        <v>Mischkampf</v>
      </c>
      <c r="H4304" s="49">
        <f t="shared" si="279"/>
        <v>80</v>
      </c>
      <c r="I4304" s="49">
        <v>1726</v>
      </c>
      <c r="J4304" s="49">
        <v>20</v>
      </c>
      <c r="K4304" s="13"/>
      <c r="L4304" s="13"/>
      <c r="M4304" s="13"/>
      <c r="N4304" s="15"/>
      <c r="O4304" s="15"/>
      <c r="P4304" s="49"/>
      <c r="Q4304" s="49"/>
      <c r="R4304" s="49"/>
      <c r="S4304" s="49"/>
      <c r="T4304" s="49"/>
      <c r="U4304" s="49"/>
      <c r="V4304" s="49"/>
    </row>
    <row r="4305" spans="1:22">
      <c r="A4305" s="13"/>
      <c r="B4305" s="14"/>
      <c r="C4305" s="13"/>
      <c r="D4305" s="49">
        <f t="shared" si="277"/>
        <v>11</v>
      </c>
      <c r="E4305" s="49" t="s">
        <v>6</v>
      </c>
      <c r="F4305" s="49">
        <f t="shared" si="278"/>
        <v>10</v>
      </c>
      <c r="G4305" s="49" t="str">
        <f>G4304</f>
        <v>Mischkampf</v>
      </c>
      <c r="H4305" s="49">
        <f t="shared" si="279"/>
        <v>464</v>
      </c>
      <c r="I4305" s="49">
        <v>190</v>
      </c>
      <c r="J4305" s="49">
        <v>404</v>
      </c>
      <c r="K4305" s="13"/>
      <c r="L4305" s="13"/>
      <c r="M4305" s="13"/>
      <c r="N4305" s="15"/>
      <c r="O4305" s="15"/>
      <c r="P4305" s="49"/>
      <c r="Q4305" s="49"/>
      <c r="R4305" s="49"/>
      <c r="S4305" s="49"/>
      <c r="T4305" s="49"/>
      <c r="U4305" s="49"/>
      <c r="V4305" s="49"/>
    </row>
    <row r="4306" spans="1:22">
      <c r="A4306" s="13"/>
      <c r="B4306" s="14"/>
      <c r="C4306" s="13"/>
      <c r="D4306" s="49">
        <f t="shared" si="277"/>
        <v>11</v>
      </c>
      <c r="E4306" s="49" t="s">
        <v>6</v>
      </c>
      <c r="F4306" s="49">
        <f t="shared" si="278"/>
        <v>10</v>
      </c>
      <c r="G4306" s="49" t="str">
        <f>G4305</f>
        <v>Mischkampf</v>
      </c>
      <c r="H4306" s="49">
        <f t="shared" si="279"/>
        <v>464</v>
      </c>
      <c r="I4306" s="49">
        <v>958</v>
      </c>
      <c r="J4306" s="49">
        <v>404</v>
      </c>
      <c r="K4306" s="13"/>
      <c r="L4306" s="13"/>
      <c r="M4306" s="13"/>
      <c r="N4306" s="15"/>
      <c r="O4306" s="15"/>
      <c r="P4306" s="49"/>
      <c r="Q4306" s="49"/>
      <c r="R4306" s="49"/>
      <c r="S4306" s="49"/>
      <c r="T4306" s="49"/>
      <c r="U4306" s="49"/>
      <c r="V4306" s="49"/>
    </row>
    <row r="4307" spans="1:22">
      <c r="A4307" s="13"/>
      <c r="B4307" s="14"/>
      <c r="C4307" s="13"/>
      <c r="D4307" s="49">
        <f t="shared" si="277"/>
        <v>11</v>
      </c>
      <c r="E4307" s="49" t="s">
        <v>6</v>
      </c>
      <c r="F4307" s="49">
        <f t="shared" si="278"/>
        <v>10</v>
      </c>
      <c r="G4307" s="49" t="str">
        <f>G4306</f>
        <v>Mischkampf</v>
      </c>
      <c r="H4307" s="49">
        <f t="shared" si="279"/>
        <v>464</v>
      </c>
      <c r="I4307" s="49">
        <v>1726</v>
      </c>
      <c r="J4307" s="49">
        <v>404</v>
      </c>
      <c r="K4307" s="13"/>
      <c r="L4307" s="13"/>
      <c r="M4307" s="13"/>
      <c r="N4307" s="15"/>
      <c r="O4307" s="15"/>
      <c r="P4307" s="49"/>
      <c r="Q4307" s="49"/>
      <c r="R4307" s="49"/>
      <c r="S4307" s="49"/>
      <c r="T4307" s="49"/>
      <c r="U4307" s="49"/>
      <c r="V4307" s="49"/>
    </row>
    <row r="4308" spans="1:22">
      <c r="A4308" s="13"/>
      <c r="B4308" s="14"/>
      <c r="C4308" s="13"/>
      <c r="D4308" s="49">
        <f t="shared" si="277"/>
        <v>12</v>
      </c>
      <c r="E4308" s="49" t="s">
        <v>6</v>
      </c>
      <c r="F4308" s="49">
        <f t="shared" si="278"/>
        <v>12</v>
      </c>
      <c r="G4308" s="49" t="s">
        <v>663</v>
      </c>
      <c r="H4308" s="49">
        <f t="shared" si="279"/>
        <v>848</v>
      </c>
      <c r="I4308" s="49">
        <v>190</v>
      </c>
      <c r="J4308" s="49">
        <v>788</v>
      </c>
      <c r="K4308" s="13"/>
      <c r="L4308" s="13"/>
      <c r="M4308" s="13"/>
      <c r="N4308" s="15"/>
      <c r="O4308" s="15"/>
      <c r="P4308" s="49"/>
      <c r="Q4308" s="49"/>
      <c r="R4308" s="49"/>
      <c r="S4308" s="49"/>
      <c r="T4308" s="49"/>
      <c r="U4308" s="49"/>
      <c r="V4308" s="49"/>
    </row>
    <row r="4309" spans="1:22">
      <c r="A4309" s="13"/>
      <c r="B4309" s="14"/>
      <c r="C4309" s="13"/>
      <c r="D4309" s="49">
        <f t="shared" si="277"/>
        <v>12</v>
      </c>
      <c r="E4309" s="49" t="s">
        <v>6</v>
      </c>
      <c r="F4309" s="49">
        <f t="shared" si="278"/>
        <v>12</v>
      </c>
      <c r="G4309" s="49" t="str">
        <f>G4308</f>
        <v>zweiheitlich</v>
      </c>
      <c r="H4309" s="49">
        <f t="shared" si="279"/>
        <v>848</v>
      </c>
      <c r="I4309" s="49">
        <v>958</v>
      </c>
      <c r="J4309" s="49">
        <v>788</v>
      </c>
      <c r="K4309" s="13"/>
      <c r="L4309" s="13"/>
      <c r="M4309" s="13"/>
      <c r="N4309" s="15"/>
      <c r="O4309" s="15"/>
      <c r="P4309" s="49"/>
      <c r="Q4309" s="49"/>
      <c r="R4309" s="49"/>
      <c r="S4309" s="49"/>
      <c r="T4309" s="49"/>
      <c r="U4309" s="49"/>
      <c r="V4309" s="49"/>
    </row>
    <row r="4310" spans="1:22">
      <c r="A4310" s="13"/>
      <c r="B4310" s="14"/>
      <c r="C4310" s="13"/>
      <c r="D4310" s="49">
        <f t="shared" si="277"/>
        <v>12</v>
      </c>
      <c r="E4310" s="49" t="s">
        <v>6</v>
      </c>
      <c r="F4310" s="49">
        <f t="shared" si="278"/>
        <v>12</v>
      </c>
      <c r="G4310" s="49" t="str">
        <f>G4309</f>
        <v>zweiheitlich</v>
      </c>
      <c r="H4310" s="49">
        <f t="shared" si="279"/>
        <v>848</v>
      </c>
      <c r="I4310" s="49">
        <v>1726</v>
      </c>
      <c r="J4310" s="49">
        <v>788</v>
      </c>
      <c r="K4310" s="13"/>
      <c r="L4310" s="13"/>
      <c r="M4310" s="13"/>
      <c r="N4310" s="15"/>
      <c r="O4310" s="15"/>
      <c r="P4310" s="49"/>
      <c r="Q4310" s="49"/>
      <c r="R4310" s="49"/>
      <c r="S4310" s="49"/>
      <c r="T4310" s="49"/>
      <c r="U4310" s="49"/>
      <c r="V4310" s="49"/>
    </row>
    <row r="4311" spans="1:22">
      <c r="A4311" s="13"/>
      <c r="B4311" s="14"/>
      <c r="C4311" s="13"/>
      <c r="D4311" s="49">
        <f t="shared" si="277"/>
        <v>12</v>
      </c>
      <c r="E4311" s="49" t="s">
        <v>6</v>
      </c>
      <c r="F4311" s="49">
        <f t="shared" si="278"/>
        <v>12</v>
      </c>
      <c r="G4311" s="49" t="str">
        <f>G4310</f>
        <v>zweiheitlich</v>
      </c>
      <c r="H4311" s="49">
        <f t="shared" si="279"/>
        <v>1232</v>
      </c>
      <c r="I4311" s="49">
        <v>190</v>
      </c>
      <c r="J4311" s="49">
        <v>1172</v>
      </c>
      <c r="K4311" s="13"/>
      <c r="L4311" s="13"/>
      <c r="M4311" s="13"/>
      <c r="N4311" s="15"/>
      <c r="O4311" s="15"/>
      <c r="P4311" s="49"/>
      <c r="Q4311" s="49"/>
      <c r="R4311" s="49"/>
      <c r="S4311" s="49"/>
      <c r="T4311" s="49"/>
      <c r="U4311" s="49"/>
      <c r="V4311" s="49"/>
    </row>
    <row r="4312" spans="1:22">
      <c r="A4312" s="13"/>
      <c r="B4312" s="14"/>
      <c r="C4312" s="13"/>
      <c r="D4312" s="49">
        <f t="shared" si="277"/>
        <v>12</v>
      </c>
      <c r="E4312" s="49" t="s">
        <v>6</v>
      </c>
      <c r="F4312" s="49">
        <f t="shared" si="278"/>
        <v>12</v>
      </c>
      <c r="G4312" s="49" t="str">
        <f>G4311</f>
        <v>zweiheitlich</v>
      </c>
      <c r="H4312" s="49">
        <f t="shared" si="279"/>
        <v>1232</v>
      </c>
      <c r="I4312" s="49">
        <v>958</v>
      </c>
      <c r="J4312" s="49">
        <v>1172</v>
      </c>
      <c r="K4312" s="13"/>
      <c r="L4312" s="13"/>
      <c r="M4312" s="13"/>
      <c r="N4312" s="15"/>
      <c r="O4312" s="15"/>
      <c r="P4312" s="49"/>
      <c r="Q4312" s="49"/>
      <c r="R4312" s="49"/>
      <c r="S4312" s="49"/>
      <c r="T4312" s="49"/>
      <c r="U4312" s="49"/>
      <c r="V4312" s="49"/>
    </row>
    <row r="4313" spans="1:22">
      <c r="A4313" s="13"/>
      <c r="B4313" s="14"/>
      <c r="C4313" s="13"/>
      <c r="D4313" s="49">
        <f t="shared" si="277"/>
        <v>12</v>
      </c>
      <c r="E4313" s="49" t="s">
        <v>6</v>
      </c>
      <c r="F4313" s="49">
        <f t="shared" si="278"/>
        <v>12</v>
      </c>
      <c r="G4313" s="49" t="str">
        <f>G4312</f>
        <v>zweiheitlich</v>
      </c>
      <c r="H4313" s="49">
        <f t="shared" si="279"/>
        <v>1232</v>
      </c>
      <c r="I4313" s="49">
        <v>1726</v>
      </c>
      <c r="J4313" s="49">
        <v>1172</v>
      </c>
      <c r="K4313" s="13"/>
      <c r="L4313" s="13"/>
      <c r="M4313" s="13"/>
      <c r="N4313" s="15"/>
      <c r="O4313" s="15"/>
      <c r="P4313" s="49"/>
      <c r="Q4313" s="49"/>
      <c r="R4313" s="49"/>
      <c r="S4313" s="49"/>
      <c r="T4313" s="49"/>
      <c r="U4313" s="49"/>
      <c r="V4313" s="49"/>
    </row>
    <row r="4314" spans="1:22">
      <c r="A4314" s="3" t="s">
        <v>2</v>
      </c>
      <c r="B4314" s="49"/>
      <c r="C4314" s="49"/>
      <c r="D4314" s="49"/>
      <c r="E4314" s="49"/>
      <c r="F4314" s="49"/>
      <c r="G4314" s="49"/>
      <c r="H4314" s="49"/>
      <c r="I4314" s="49"/>
      <c r="J4314" s="49"/>
      <c r="K4314" s="49"/>
      <c r="L4314" s="49"/>
      <c r="M4314" s="49"/>
      <c r="N4314" s="49"/>
      <c r="O4314" s="49"/>
      <c r="P4314" s="49"/>
      <c r="Q4314" s="49"/>
      <c r="R4314" s="49"/>
      <c r="S4314" s="49"/>
      <c r="T4314" s="49"/>
      <c r="U4314" s="49"/>
      <c r="V4314" s="49"/>
    </row>
    <row r="4315" spans="1:22">
      <c r="A4315" s="49" t="s">
        <v>644</v>
      </c>
      <c r="B4315" s="49"/>
      <c r="C4315" s="49"/>
      <c r="D4315" s="48">
        <v>10</v>
      </c>
      <c r="E4315" s="48" t="s">
        <v>1</v>
      </c>
      <c r="F4315" s="49">
        <v>3</v>
      </c>
      <c r="G4315" s="48">
        <v>150</v>
      </c>
      <c r="H4315" s="48">
        <v>117</v>
      </c>
      <c r="I4315" s="48">
        <v>406</v>
      </c>
      <c r="J4315" s="48">
        <v>261</v>
      </c>
      <c r="K4315" s="48">
        <v>662</v>
      </c>
      <c r="L4315" s="48">
        <v>100</v>
      </c>
      <c r="M4315" s="48"/>
      <c r="N4315" s="48">
        <v>282</v>
      </c>
      <c r="O4315" s="48"/>
      <c r="P4315" s="49"/>
      <c r="Q4315" s="49"/>
      <c r="R4315" s="49"/>
      <c r="S4315" s="49"/>
      <c r="T4315" s="49"/>
      <c r="U4315" s="49"/>
      <c r="V4315" s="49"/>
    </row>
    <row r="4316" spans="1:22">
      <c r="A4316" s="49"/>
      <c r="B4316" s="49"/>
      <c r="C4316" s="49"/>
      <c r="D4316" s="48">
        <f>D4315</f>
        <v>10</v>
      </c>
      <c r="E4316" s="48" t="str">
        <f>E4315</f>
        <v>Polylinie</v>
      </c>
      <c r="F4316" s="48">
        <f>F4315</f>
        <v>3</v>
      </c>
      <c r="G4316" s="49">
        <v>918</v>
      </c>
      <c r="H4316" s="49">
        <v>100</v>
      </c>
      <c r="I4316" s="49">
        <v>1174</v>
      </c>
      <c r="J4316" s="49">
        <v>222</v>
      </c>
      <c r="K4316" s="48">
        <v>1430</v>
      </c>
      <c r="L4316" s="48">
        <v>247</v>
      </c>
      <c r="M4316" s="48"/>
      <c r="N4316" s="48">
        <v>334</v>
      </c>
      <c r="O4316" s="48"/>
      <c r="P4316" s="49"/>
      <c r="Q4316" s="49"/>
      <c r="R4316" s="49"/>
      <c r="S4316" s="49"/>
      <c r="T4316" s="49"/>
      <c r="U4316" s="49"/>
      <c r="V4316" s="49"/>
    </row>
    <row r="4317" spans="1:22">
      <c r="A4317" s="48"/>
      <c r="B4317" s="48"/>
      <c r="C4317" s="48"/>
      <c r="D4317" s="48">
        <f t="shared" ref="D4317:F4326" si="280">D4316</f>
        <v>10</v>
      </c>
      <c r="E4317" s="48" t="str">
        <f t="shared" si="280"/>
        <v>Polylinie</v>
      </c>
      <c r="F4317" s="48">
        <f t="shared" si="280"/>
        <v>3</v>
      </c>
      <c r="G4317" s="49">
        <v>1686</v>
      </c>
      <c r="H4317" s="49">
        <v>100</v>
      </c>
      <c r="I4317" s="49">
        <v>1942</v>
      </c>
      <c r="J4317" s="49">
        <v>245</v>
      </c>
      <c r="K4317" s="48">
        <v>2198</v>
      </c>
      <c r="L4317" s="48">
        <v>208</v>
      </c>
      <c r="M4317" s="48"/>
      <c r="N4317" s="48">
        <v>750</v>
      </c>
      <c r="O4317" s="48"/>
      <c r="P4317" s="49"/>
      <c r="Q4317" s="49"/>
      <c r="R4317" s="49"/>
      <c r="S4317" s="49"/>
      <c r="T4317" s="49"/>
      <c r="U4317" s="49"/>
      <c r="V4317" s="49"/>
    </row>
    <row r="4318" spans="1:22">
      <c r="A4318" s="49"/>
      <c r="B4318" s="49"/>
      <c r="C4318" s="49"/>
      <c r="D4318" s="48">
        <f t="shared" si="280"/>
        <v>10</v>
      </c>
      <c r="E4318" s="48" t="str">
        <f t="shared" si="280"/>
        <v>Polylinie</v>
      </c>
      <c r="F4318" s="48">
        <f t="shared" si="280"/>
        <v>3</v>
      </c>
      <c r="G4318" s="49">
        <v>150</v>
      </c>
      <c r="H4318" s="49">
        <v>484</v>
      </c>
      <c r="I4318" s="49">
        <v>406</v>
      </c>
      <c r="J4318" s="49">
        <v>606</v>
      </c>
      <c r="K4318" s="48">
        <v>662</v>
      </c>
      <c r="L4318" s="48">
        <v>639</v>
      </c>
      <c r="M4318" s="48"/>
      <c r="N4318" s="48">
        <v>832</v>
      </c>
      <c r="O4318" s="48"/>
      <c r="P4318" s="49"/>
      <c r="Q4318" s="49"/>
      <c r="R4318" s="49"/>
      <c r="S4318" s="49"/>
      <c r="T4318" s="49"/>
      <c r="U4318" s="49"/>
      <c r="V4318" s="49"/>
    </row>
    <row r="4319" spans="1:22">
      <c r="A4319" s="48"/>
      <c r="B4319" s="48"/>
      <c r="C4319" s="48"/>
      <c r="D4319" s="48">
        <f t="shared" si="280"/>
        <v>10</v>
      </c>
      <c r="E4319" s="48" t="str">
        <f t="shared" si="280"/>
        <v>Polylinie</v>
      </c>
      <c r="F4319" s="48">
        <f t="shared" si="280"/>
        <v>3</v>
      </c>
      <c r="G4319" s="49">
        <v>918</v>
      </c>
      <c r="H4319" s="49">
        <v>484</v>
      </c>
      <c r="I4319" s="49">
        <v>1174</v>
      </c>
      <c r="J4319" s="49">
        <v>536</v>
      </c>
      <c r="K4319" s="48">
        <v>1430</v>
      </c>
      <c r="L4319" s="48">
        <v>635</v>
      </c>
      <c r="M4319" s="48"/>
      <c r="N4319" s="48">
        <v>1309</v>
      </c>
      <c r="O4319" s="48"/>
      <c r="P4319" s="49"/>
      <c r="Q4319" s="49"/>
      <c r="R4319" s="49"/>
      <c r="S4319" s="49"/>
      <c r="T4319" s="49"/>
      <c r="U4319" s="49"/>
      <c r="V4319" s="49"/>
    </row>
    <row r="4320" spans="1:22">
      <c r="A4320" s="48"/>
      <c r="B4320" s="48"/>
      <c r="C4320" s="48"/>
      <c r="D4320" s="48">
        <f t="shared" si="280"/>
        <v>10</v>
      </c>
      <c r="E4320" s="48" t="str">
        <f t="shared" si="280"/>
        <v>Polylinie</v>
      </c>
      <c r="F4320" s="48">
        <f t="shared" si="280"/>
        <v>3</v>
      </c>
      <c r="G4320" s="49">
        <v>1686</v>
      </c>
      <c r="H4320" s="49">
        <v>533</v>
      </c>
      <c r="I4320" s="49">
        <v>1942</v>
      </c>
      <c r="J4320" s="49">
        <v>625</v>
      </c>
      <c r="K4320" s="48">
        <v>2198</v>
      </c>
      <c r="L4320" s="48">
        <v>484</v>
      </c>
      <c r="M4320" s="48"/>
      <c r="N4320" s="48">
        <v>1263</v>
      </c>
      <c r="O4320" s="48"/>
      <c r="P4320" s="49"/>
      <c r="Q4320" s="49"/>
      <c r="R4320" s="49"/>
      <c r="S4320" s="49"/>
      <c r="T4320" s="49"/>
      <c r="U4320" s="49"/>
      <c r="V4320" s="49"/>
    </row>
    <row r="4321" spans="1:22">
      <c r="A4321" s="49"/>
      <c r="B4321" s="49"/>
      <c r="C4321" s="49"/>
      <c r="D4321" s="48">
        <f t="shared" si="280"/>
        <v>10</v>
      </c>
      <c r="E4321" s="48" t="str">
        <f t="shared" si="280"/>
        <v>Polylinie</v>
      </c>
      <c r="F4321" s="48">
        <f t="shared" si="280"/>
        <v>3</v>
      </c>
      <c r="G4321" s="49">
        <v>150</v>
      </c>
      <c r="H4321" s="49">
        <v>1025</v>
      </c>
      <c r="I4321" s="49">
        <v>406</v>
      </c>
      <c r="J4321" s="49">
        <v>868</v>
      </c>
      <c r="K4321" s="48">
        <v>662</v>
      </c>
      <c r="L4321" s="48">
        <v>1017</v>
      </c>
      <c r="M4321" s="49"/>
      <c r="N4321" s="49"/>
      <c r="O4321" s="49"/>
      <c r="P4321" s="49"/>
      <c r="Q4321" s="49"/>
      <c r="R4321" s="49"/>
      <c r="S4321" s="49"/>
      <c r="T4321" s="49"/>
      <c r="U4321" s="49"/>
      <c r="V4321" s="49"/>
    </row>
    <row r="4322" spans="1:22">
      <c r="A4322" s="49"/>
      <c r="B4322" s="49"/>
      <c r="C4322" s="49"/>
      <c r="D4322" s="48">
        <f t="shared" si="280"/>
        <v>10</v>
      </c>
      <c r="E4322" s="48" t="str">
        <f t="shared" si="280"/>
        <v>Polylinie</v>
      </c>
      <c r="F4322" s="48">
        <f t="shared" si="280"/>
        <v>3</v>
      </c>
      <c r="G4322" s="49">
        <v>918</v>
      </c>
      <c r="H4322" s="49">
        <v>868</v>
      </c>
      <c r="I4322" s="49">
        <v>1174</v>
      </c>
      <c r="J4322" s="49">
        <v>920</v>
      </c>
      <c r="K4322" s="48">
        <v>1430</v>
      </c>
      <c r="L4322" s="48">
        <v>1015</v>
      </c>
      <c r="M4322" s="49"/>
      <c r="N4322" s="49"/>
      <c r="O4322" s="49"/>
      <c r="P4322" s="49"/>
      <c r="Q4322" s="49"/>
      <c r="R4322" s="49"/>
      <c r="S4322" s="49"/>
      <c r="T4322" s="49"/>
      <c r="U4322" s="49"/>
      <c r="V4322" s="49"/>
    </row>
    <row r="4323" spans="1:22">
      <c r="A4323" s="49"/>
      <c r="B4323" s="49"/>
      <c r="C4323" s="49"/>
      <c r="D4323" s="48">
        <f t="shared" si="280"/>
        <v>10</v>
      </c>
      <c r="E4323" s="48" t="str">
        <f t="shared" si="280"/>
        <v>Polylinie</v>
      </c>
      <c r="F4323" s="48">
        <f t="shared" si="280"/>
        <v>3</v>
      </c>
      <c r="G4323" s="49">
        <v>1686</v>
      </c>
      <c r="H4323" s="49">
        <v>868</v>
      </c>
      <c r="I4323" s="49">
        <v>1942</v>
      </c>
      <c r="J4323" s="49">
        <v>880</v>
      </c>
      <c r="K4323" s="48">
        <v>2198</v>
      </c>
      <c r="L4323" s="48">
        <v>1009</v>
      </c>
      <c r="M4323" s="49"/>
      <c r="N4323" s="49"/>
      <c r="O4323" s="49"/>
      <c r="P4323" s="49"/>
      <c r="Q4323" s="49"/>
      <c r="R4323" s="49"/>
      <c r="S4323" s="49"/>
      <c r="T4323" s="49"/>
      <c r="U4323" s="49"/>
      <c r="V4323" s="49"/>
    </row>
    <row r="4324" spans="1:22">
      <c r="A4324" s="49"/>
      <c r="B4324" s="49"/>
      <c r="C4324" s="49"/>
      <c r="D4324" s="48">
        <f t="shared" si="280"/>
        <v>10</v>
      </c>
      <c r="E4324" s="48" t="str">
        <f t="shared" si="280"/>
        <v>Polylinie</v>
      </c>
      <c r="F4324" s="48">
        <f t="shared" si="280"/>
        <v>3</v>
      </c>
      <c r="G4324" s="49">
        <v>150</v>
      </c>
      <c r="H4324" s="49">
        <v>1252</v>
      </c>
      <c r="I4324" s="49">
        <v>406</v>
      </c>
      <c r="J4324" s="49">
        <v>1326</v>
      </c>
      <c r="K4324" s="48">
        <v>662</v>
      </c>
      <c r="L4324" s="48">
        <v>1407</v>
      </c>
      <c r="M4324" s="49"/>
      <c r="N4324" s="49"/>
      <c r="O4324" s="49"/>
      <c r="P4324" s="49"/>
      <c r="Q4324" s="49"/>
      <c r="R4324" s="49"/>
      <c r="S4324" s="49"/>
      <c r="T4324" s="49"/>
      <c r="U4324" s="49"/>
      <c r="V4324" s="49"/>
    </row>
    <row r="4325" spans="1:22">
      <c r="A4325" s="49"/>
      <c r="B4325" s="49"/>
      <c r="C4325" s="49"/>
      <c r="D4325" s="48">
        <f t="shared" si="280"/>
        <v>10</v>
      </c>
      <c r="E4325" s="48" t="str">
        <f t="shared" si="280"/>
        <v>Polylinie</v>
      </c>
      <c r="F4325" s="48">
        <f t="shared" si="280"/>
        <v>3</v>
      </c>
      <c r="G4325" s="49">
        <v>918</v>
      </c>
      <c r="H4325" s="49">
        <v>1252</v>
      </c>
      <c r="I4325" s="49">
        <v>1174</v>
      </c>
      <c r="J4325" s="49">
        <v>1429</v>
      </c>
      <c r="K4325" s="48">
        <v>1430</v>
      </c>
      <c r="L4325" s="48">
        <v>1330</v>
      </c>
      <c r="M4325" s="49"/>
      <c r="N4325" s="49"/>
      <c r="O4325" s="49"/>
      <c r="P4325" s="49"/>
      <c r="Q4325" s="49"/>
      <c r="R4325" s="49"/>
      <c r="S4325" s="49"/>
      <c r="T4325" s="49"/>
      <c r="U4325" s="49"/>
      <c r="V4325" s="49"/>
    </row>
    <row r="4326" spans="1:22">
      <c r="A4326" s="49"/>
      <c r="B4326" s="49"/>
      <c r="C4326" s="49"/>
      <c r="D4326" s="48">
        <f t="shared" si="280"/>
        <v>10</v>
      </c>
      <c r="E4326" s="48" t="str">
        <f t="shared" si="280"/>
        <v>Polylinie</v>
      </c>
      <c r="F4326" s="48">
        <f t="shared" si="280"/>
        <v>3</v>
      </c>
      <c r="G4326" s="49">
        <v>1686</v>
      </c>
      <c r="H4326" s="49">
        <v>1282</v>
      </c>
      <c r="I4326" s="49">
        <v>1942</v>
      </c>
      <c r="J4326" s="49">
        <v>1379</v>
      </c>
      <c r="K4326" s="48">
        <v>2198</v>
      </c>
      <c r="L4326" s="48">
        <v>1252</v>
      </c>
      <c r="M4326" s="49"/>
      <c r="N4326" s="49"/>
      <c r="O4326" s="49"/>
      <c r="P4326" s="49"/>
      <c r="Q4326" s="49"/>
      <c r="R4326" s="49"/>
      <c r="S4326" s="49"/>
      <c r="T4326" s="49"/>
      <c r="U4326" s="49"/>
      <c r="V4326" s="49"/>
    </row>
    <row r="4329" spans="1:22">
      <c r="A4329" s="48" t="s">
        <v>383</v>
      </c>
      <c r="B4329" s="1" t="s">
        <v>785</v>
      </c>
      <c r="C4329" s="48"/>
      <c r="D4329" s="48" t="s">
        <v>449</v>
      </c>
      <c r="E4329" s="48">
        <v>52695</v>
      </c>
      <c r="F4329" s="6">
        <v>39622</v>
      </c>
      <c r="G4329" s="6">
        <v>0</v>
      </c>
      <c r="H4329" s="6">
        <v>0</v>
      </c>
      <c r="I4329" s="6">
        <v>0</v>
      </c>
      <c r="J4329" s="6">
        <v>1190</v>
      </c>
      <c r="K4329" s="6">
        <v>360</v>
      </c>
      <c r="L4329" s="6">
        <v>192</v>
      </c>
      <c r="M4329" s="6">
        <v>0</v>
      </c>
      <c r="N4329" s="6">
        <v>0</v>
      </c>
      <c r="O4329" s="6" t="e">
        <f ca="1">checksummeint(G4329,H4329,I4329,J4329,K4329,L4329,M4329,N4329)</f>
        <v>#NAME?</v>
      </c>
      <c r="P4329" s="48"/>
      <c r="Q4329" s="48"/>
      <c r="R4329" s="48"/>
      <c r="S4329" s="48"/>
      <c r="T4329" s="48"/>
      <c r="U4329" s="48"/>
      <c r="V4329" s="48"/>
    </row>
    <row r="4330" spans="1:22">
      <c r="A4330" s="1" t="s">
        <v>667</v>
      </c>
      <c r="B4330" s="48"/>
      <c r="C4330" s="48">
        <v>0</v>
      </c>
      <c r="D4330" s="48">
        <v>28</v>
      </c>
      <c r="E4330" s="48" t="s">
        <v>12</v>
      </c>
      <c r="F4330" s="6">
        <v>36</v>
      </c>
      <c r="G4330" s="6">
        <v>0</v>
      </c>
      <c r="H4330" s="6">
        <v>0</v>
      </c>
      <c r="I4330" s="6">
        <v>0</v>
      </c>
      <c r="J4330" s="6">
        <v>400</v>
      </c>
      <c r="K4330" s="6">
        <v>0</v>
      </c>
      <c r="L4330" s="6">
        <v>0</v>
      </c>
      <c r="M4330" s="6">
        <v>0</v>
      </c>
      <c r="N4330" s="6">
        <v>0</v>
      </c>
      <c r="O4330" s="6" t="s">
        <v>19</v>
      </c>
      <c r="P4330" s="48"/>
      <c r="Q4330" s="48"/>
      <c r="R4330" s="48"/>
      <c r="S4330" s="48"/>
      <c r="T4330" s="48"/>
      <c r="U4330" s="48"/>
      <c r="V4330" s="48"/>
    </row>
    <row r="4331" spans="1:22">
      <c r="A4331" s="48"/>
      <c r="B4331" s="48"/>
      <c r="C4331" s="48">
        <v>1</v>
      </c>
      <c r="D4331" s="48">
        <v>8</v>
      </c>
      <c r="E4331" s="48" t="s">
        <v>14</v>
      </c>
      <c r="F4331" s="6">
        <v>0</v>
      </c>
      <c r="G4331" s="6">
        <v>2</v>
      </c>
      <c r="H4331" s="6">
        <v>0</v>
      </c>
      <c r="I4331" s="6">
        <v>0</v>
      </c>
      <c r="J4331" s="6">
        <v>0</v>
      </c>
      <c r="M4331" s="44"/>
      <c r="P4331" s="48"/>
      <c r="Q4331" s="48"/>
      <c r="R4331" s="48"/>
      <c r="S4331" s="48"/>
      <c r="T4331" s="48"/>
      <c r="U4331" s="48"/>
      <c r="V4331" s="48"/>
    </row>
    <row r="4332" spans="1:22">
      <c r="A4332" s="48"/>
      <c r="B4332" s="48"/>
      <c r="C4332" s="48">
        <v>2</v>
      </c>
      <c r="D4332" s="48">
        <v>7</v>
      </c>
      <c r="E4332" s="48" t="s">
        <v>11</v>
      </c>
      <c r="F4332" s="6">
        <v>0</v>
      </c>
      <c r="G4332" s="50">
        <v>-64</v>
      </c>
      <c r="H4332" s="50">
        <v>192</v>
      </c>
      <c r="I4332" s="6">
        <v>0</v>
      </c>
      <c r="N4332" s="50"/>
      <c r="P4332" s="48"/>
      <c r="Q4332" s="48"/>
      <c r="R4332" s="48"/>
      <c r="S4332" s="48"/>
      <c r="T4332" s="48"/>
      <c r="U4332" s="48"/>
      <c r="V4332" s="48"/>
    </row>
    <row r="4333" spans="1:22">
      <c r="A4333" s="48"/>
      <c r="B4333" s="48"/>
      <c r="C4333" s="48">
        <v>3</v>
      </c>
      <c r="D4333" s="48">
        <v>8</v>
      </c>
      <c r="E4333" s="48" t="s">
        <v>14</v>
      </c>
      <c r="F4333" s="6">
        <v>0</v>
      </c>
      <c r="G4333" s="6">
        <v>4</v>
      </c>
      <c r="H4333" s="6">
        <v>0</v>
      </c>
      <c r="I4333" s="6">
        <v>0</v>
      </c>
      <c r="J4333" s="6">
        <v>0</v>
      </c>
      <c r="N4333" s="50"/>
      <c r="P4333" s="48"/>
      <c r="Q4333" s="48"/>
      <c r="R4333" s="48"/>
      <c r="S4333" s="48"/>
      <c r="T4333" s="48"/>
      <c r="U4333" s="48"/>
      <c r="V4333" s="48"/>
    </row>
    <row r="4334" spans="1:22">
      <c r="A4334" s="48"/>
      <c r="B4334" s="48"/>
      <c r="C4334" s="48">
        <v>4</v>
      </c>
      <c r="D4334" s="48">
        <v>28</v>
      </c>
      <c r="E4334" s="48" t="s">
        <v>12</v>
      </c>
      <c r="F4334" s="6">
        <v>180</v>
      </c>
      <c r="G4334" s="6">
        <v>0</v>
      </c>
      <c r="H4334" s="6">
        <v>0</v>
      </c>
      <c r="I4334" s="6">
        <v>0</v>
      </c>
      <c r="J4334" s="6">
        <v>400</v>
      </c>
      <c r="K4334" s="6">
        <v>0</v>
      </c>
      <c r="L4334" s="6">
        <v>0</v>
      </c>
      <c r="M4334" s="6">
        <v>0</v>
      </c>
      <c r="N4334" s="6">
        <v>0</v>
      </c>
      <c r="O4334" s="31" t="s">
        <v>200</v>
      </c>
      <c r="P4334" s="48"/>
      <c r="Q4334" s="48"/>
      <c r="R4334" s="48"/>
      <c r="S4334" s="48"/>
      <c r="T4334" s="48"/>
      <c r="U4334" s="48"/>
      <c r="V4334" s="48"/>
    </row>
    <row r="4335" spans="1:22">
      <c r="A4335" s="1"/>
      <c r="B4335" s="1"/>
      <c r="C4335" s="48"/>
      <c r="D4335" s="48">
        <v>5</v>
      </c>
      <c r="E4335" s="48" t="s">
        <v>59</v>
      </c>
      <c r="F4335" s="6">
        <v>1</v>
      </c>
      <c r="G4335" s="6">
        <v>0</v>
      </c>
      <c r="P4335" s="48"/>
      <c r="Q4335" s="48"/>
      <c r="R4335" s="48"/>
      <c r="S4335" s="48"/>
      <c r="T4335" s="48"/>
      <c r="U4335" s="48"/>
      <c r="V4335" s="48"/>
    </row>
    <row r="4336" spans="1:22">
      <c r="A4336" s="1"/>
      <c r="B4336" s="1"/>
      <c r="C4336" s="48"/>
      <c r="D4336" s="48">
        <v>4</v>
      </c>
      <c r="E4336" s="48" t="s">
        <v>15</v>
      </c>
      <c r="F4336" s="6">
        <v>0</v>
      </c>
      <c r="N4336" s="31"/>
      <c r="P4336" s="48"/>
      <c r="Q4336" s="48"/>
      <c r="R4336" s="48"/>
      <c r="S4336" s="48"/>
      <c r="T4336" s="48"/>
      <c r="U4336" s="48"/>
      <c r="V4336" s="48"/>
    </row>
    <row r="4337" spans="1:22">
      <c r="A4337" s="1"/>
      <c r="B4337" s="1"/>
      <c r="C4337" s="48"/>
      <c r="D4337" s="48">
        <v>4</v>
      </c>
      <c r="E4337" s="48" t="s">
        <v>15</v>
      </c>
      <c r="F4337" s="6">
        <v>3</v>
      </c>
      <c r="G4337" s="50"/>
      <c r="P4337" s="48"/>
      <c r="Q4337" s="48"/>
      <c r="R4337" s="48"/>
      <c r="S4337" s="48"/>
      <c r="T4337" s="48"/>
      <c r="U4337" s="48"/>
      <c r="V4337" s="48"/>
    </row>
    <row r="4338" spans="1:22">
      <c r="A4338" s="48"/>
      <c r="B4338" s="48"/>
      <c r="C4338" s="48"/>
      <c r="D4338" s="48">
        <v>4</v>
      </c>
      <c r="E4338" s="48" t="s">
        <v>15</v>
      </c>
      <c r="F4338" s="6">
        <v>2</v>
      </c>
      <c r="P4338" s="48"/>
      <c r="Q4338" s="48"/>
      <c r="R4338" s="48"/>
      <c r="S4338" s="48"/>
      <c r="T4338" s="48"/>
      <c r="U4338" s="48"/>
      <c r="V4338" s="48"/>
    </row>
    <row r="4339" spans="1:22">
      <c r="A4339" s="48"/>
      <c r="B4339" s="48"/>
      <c r="C4339" s="48"/>
      <c r="D4339" s="49">
        <f>F4339*2+4</f>
        <v>20</v>
      </c>
      <c r="E4339" s="49" t="s">
        <v>4</v>
      </c>
      <c r="F4339" s="49">
        <v>8</v>
      </c>
      <c r="G4339" s="49">
        <v>10</v>
      </c>
      <c r="H4339" s="50">
        <v>350</v>
      </c>
      <c r="I4339" s="50">
        <f>G4339+40</f>
        <v>50</v>
      </c>
      <c r="J4339" s="49">
        <f>H4339-100</f>
        <v>250</v>
      </c>
      <c r="K4339" s="50">
        <f>I4339+50</f>
        <v>100</v>
      </c>
      <c r="L4339" s="50">
        <f>J4339</f>
        <v>250</v>
      </c>
      <c r="M4339" s="6">
        <f>K4339+160</f>
        <v>260</v>
      </c>
      <c r="N4339" s="6">
        <f>L4339-150</f>
        <v>100</v>
      </c>
      <c r="O4339" s="6">
        <f>M4339+100</f>
        <v>360</v>
      </c>
      <c r="P4339" s="48">
        <f>N4339</f>
        <v>100</v>
      </c>
      <c r="Q4339" s="48">
        <f>O4339+65</f>
        <v>425</v>
      </c>
      <c r="R4339" s="48">
        <f>P4339-50</f>
        <v>50</v>
      </c>
      <c r="S4339" s="48">
        <f>Q4339+50</f>
        <v>475</v>
      </c>
      <c r="T4339" s="48">
        <f>R4339</f>
        <v>50</v>
      </c>
      <c r="U4339" s="48">
        <f>S4339</f>
        <v>475</v>
      </c>
      <c r="V4339" s="48">
        <f>H4339</f>
        <v>350</v>
      </c>
    </row>
    <row r="4340" spans="1:22">
      <c r="A4340" s="48"/>
      <c r="B4340" s="48"/>
      <c r="C4340" s="48"/>
      <c r="D4340" s="48">
        <v>4</v>
      </c>
      <c r="E4340" s="48" t="s">
        <v>15</v>
      </c>
      <c r="F4340" s="6">
        <v>1</v>
      </c>
      <c r="G4340" s="50"/>
      <c r="H4340" s="49"/>
      <c r="I4340" s="50"/>
      <c r="J4340" s="49"/>
      <c r="K4340" s="50"/>
      <c r="L4340" s="50"/>
      <c r="M4340" s="50"/>
      <c r="N4340" s="50"/>
      <c r="O4340" s="50"/>
      <c r="P4340" s="49"/>
      <c r="Q4340" s="49"/>
      <c r="R4340" s="49"/>
      <c r="S4340" s="49"/>
      <c r="T4340" s="49"/>
      <c r="U4340" s="49"/>
      <c r="V4340" s="48"/>
    </row>
    <row r="4341" spans="1:22">
      <c r="A4341" s="48"/>
      <c r="B4341" s="48"/>
      <c r="C4341" s="48"/>
      <c r="D4341" s="49">
        <f t="shared" ref="D4341:D4346" si="281">F4341*2+4</f>
        <v>8</v>
      </c>
      <c r="E4341" s="49" t="s">
        <v>1</v>
      </c>
      <c r="F4341" s="49">
        <v>2</v>
      </c>
      <c r="G4341" s="48">
        <f>I4339</f>
        <v>50</v>
      </c>
      <c r="H4341" s="48">
        <f>J4339</f>
        <v>250</v>
      </c>
      <c r="I4341" s="48">
        <f t="shared" ref="I4341:I4346" si="282">G4341</f>
        <v>50</v>
      </c>
      <c r="J4341" s="50">
        <f>H4339</f>
        <v>350</v>
      </c>
      <c r="K4341" s="49"/>
      <c r="L4341" s="49"/>
      <c r="M4341" s="49"/>
      <c r="N4341" s="49"/>
      <c r="O4341" s="49"/>
      <c r="P4341" s="49"/>
      <c r="Q4341" s="49"/>
      <c r="R4341" s="49"/>
      <c r="S4341" s="48"/>
      <c r="T4341" s="48"/>
      <c r="U4341" s="49"/>
      <c r="V4341" s="48"/>
    </row>
    <row r="4342" spans="1:22">
      <c r="A4342" s="48"/>
      <c r="B4342" s="48"/>
      <c r="C4342" s="48"/>
      <c r="D4342" s="49">
        <f t="shared" si="281"/>
        <v>8</v>
      </c>
      <c r="E4342" s="49" t="s">
        <v>1</v>
      </c>
      <c r="F4342" s="49">
        <v>2</v>
      </c>
      <c r="G4342" s="48">
        <f>K4339</f>
        <v>100</v>
      </c>
      <c r="H4342" s="48">
        <f>L4339</f>
        <v>250</v>
      </c>
      <c r="I4342" s="48">
        <f t="shared" si="282"/>
        <v>100</v>
      </c>
      <c r="J4342" s="50">
        <f>J4341</f>
        <v>350</v>
      </c>
      <c r="K4342" s="50"/>
      <c r="L4342" s="50"/>
      <c r="M4342" s="50"/>
      <c r="N4342" s="50"/>
      <c r="O4342" s="50"/>
      <c r="P4342" s="49"/>
      <c r="Q4342" s="49"/>
      <c r="R4342" s="49"/>
      <c r="S4342" s="49"/>
      <c r="T4342" s="49"/>
      <c r="U4342" s="49"/>
      <c r="V4342" s="48"/>
    </row>
    <row r="4343" spans="1:22">
      <c r="A4343" s="49"/>
      <c r="B4343" s="49"/>
      <c r="C4343" s="49"/>
      <c r="D4343" s="49">
        <f t="shared" si="281"/>
        <v>8</v>
      </c>
      <c r="E4343" s="49" t="s">
        <v>1</v>
      </c>
      <c r="F4343" s="49">
        <v>2</v>
      </c>
      <c r="G4343" s="48">
        <f>M4339</f>
        <v>260</v>
      </c>
      <c r="H4343" s="48">
        <f>N4339</f>
        <v>100</v>
      </c>
      <c r="I4343" s="48">
        <f t="shared" si="282"/>
        <v>260</v>
      </c>
      <c r="J4343" s="50">
        <f>J4342</f>
        <v>350</v>
      </c>
      <c r="K4343" s="49"/>
      <c r="L4343" s="49"/>
      <c r="M4343" s="49"/>
      <c r="N4343" s="49"/>
      <c r="O4343" s="49"/>
      <c r="P4343" s="49"/>
      <c r="Q4343" s="49"/>
      <c r="R4343" s="49"/>
      <c r="S4343" s="49"/>
      <c r="T4343" s="49"/>
      <c r="U4343" s="49"/>
      <c r="V4343" s="49"/>
    </row>
    <row r="4344" spans="1:22">
      <c r="A4344" s="49"/>
      <c r="B4344" s="49"/>
      <c r="C4344" s="49"/>
      <c r="D4344" s="49">
        <f t="shared" si="281"/>
        <v>8</v>
      </c>
      <c r="E4344" s="49" t="s">
        <v>1</v>
      </c>
      <c r="F4344" s="49">
        <v>2</v>
      </c>
      <c r="G4344" s="48">
        <f>O4339</f>
        <v>360</v>
      </c>
      <c r="H4344" s="48">
        <f>P4339</f>
        <v>100</v>
      </c>
      <c r="I4344" s="48">
        <f t="shared" si="282"/>
        <v>360</v>
      </c>
      <c r="J4344" s="50">
        <f>J4343</f>
        <v>350</v>
      </c>
      <c r="K4344" s="49"/>
      <c r="L4344" s="49"/>
      <c r="M4344" s="49"/>
      <c r="N4344" s="49"/>
      <c r="O4344" s="49"/>
      <c r="P4344" s="49"/>
      <c r="Q4344" s="49"/>
      <c r="R4344" s="49"/>
      <c r="S4344" s="49"/>
      <c r="T4344" s="49"/>
      <c r="U4344" s="49"/>
      <c r="V4344" s="49"/>
    </row>
    <row r="4345" spans="1:22">
      <c r="A4345" s="49"/>
      <c r="B4345" s="49"/>
      <c r="C4345" s="49"/>
      <c r="D4345" s="49">
        <f t="shared" si="281"/>
        <v>8</v>
      </c>
      <c r="E4345" s="49" t="s">
        <v>1</v>
      </c>
      <c r="F4345" s="49">
        <v>2</v>
      </c>
      <c r="G4345" s="48">
        <f>Q4339</f>
        <v>425</v>
      </c>
      <c r="H4345" s="48">
        <f>R4339</f>
        <v>50</v>
      </c>
      <c r="I4345" s="48">
        <f t="shared" si="282"/>
        <v>425</v>
      </c>
      <c r="J4345" s="50">
        <f>J4344</f>
        <v>350</v>
      </c>
      <c r="K4345" s="49"/>
      <c r="L4345" s="49"/>
      <c r="M4345" s="49"/>
      <c r="N4345" s="49"/>
      <c r="O4345" s="49"/>
      <c r="P4345" s="49"/>
      <c r="Q4345" s="49"/>
      <c r="R4345" s="49"/>
      <c r="S4345" s="49"/>
      <c r="T4345" s="49"/>
      <c r="U4345" s="49"/>
      <c r="V4345" s="49"/>
    </row>
    <row r="4346" spans="1:22">
      <c r="A4346" s="49"/>
      <c r="B4346" s="49"/>
      <c r="C4346" s="49"/>
      <c r="D4346" s="49">
        <f t="shared" si="281"/>
        <v>8</v>
      </c>
      <c r="E4346" s="49" t="s">
        <v>1</v>
      </c>
      <c r="F4346" s="49">
        <v>2</v>
      </c>
      <c r="G4346" s="48">
        <f>S4339</f>
        <v>475</v>
      </c>
      <c r="H4346" s="48">
        <f>T4339</f>
        <v>50</v>
      </c>
      <c r="I4346" s="48">
        <f t="shared" si="282"/>
        <v>475</v>
      </c>
      <c r="J4346" s="50">
        <f>J4345</f>
        <v>350</v>
      </c>
      <c r="K4346" s="49"/>
      <c r="L4346" s="49"/>
      <c r="M4346" s="49"/>
      <c r="N4346" s="49"/>
      <c r="O4346" s="49"/>
      <c r="P4346" s="49"/>
      <c r="Q4346" s="49"/>
      <c r="R4346" s="49"/>
      <c r="S4346" s="49"/>
      <c r="T4346" s="49"/>
      <c r="U4346" s="49"/>
      <c r="V4346" s="49"/>
    </row>
    <row r="4347" spans="1:22">
      <c r="A4347" s="49"/>
      <c r="B4347" s="49"/>
      <c r="C4347" s="49"/>
      <c r="D4347" s="49">
        <v>7</v>
      </c>
      <c r="E4347" s="49" t="s">
        <v>0</v>
      </c>
      <c r="F4347" s="49">
        <f>H4339-5</f>
        <v>345</v>
      </c>
      <c r="G4347" s="49">
        <f>G4339-5</f>
        <v>5</v>
      </c>
      <c r="H4347" s="50">
        <f t="shared" ref="H4347:I4353" si="283">F4347+10</f>
        <v>355</v>
      </c>
      <c r="I4347" s="50">
        <f t="shared" si="283"/>
        <v>15</v>
      </c>
      <c r="J4347" s="50"/>
      <c r="K4347" s="49"/>
      <c r="L4347" s="49"/>
      <c r="M4347" s="49"/>
      <c r="N4347" s="49"/>
      <c r="O4347" s="49"/>
      <c r="P4347" s="49"/>
      <c r="Q4347" s="49"/>
      <c r="R4347" s="49"/>
      <c r="S4347" s="49"/>
      <c r="T4347" s="49"/>
      <c r="U4347" s="49"/>
      <c r="V4347" s="49"/>
    </row>
    <row r="4348" spans="1:22">
      <c r="A4348" s="49"/>
      <c r="B4348" s="49"/>
      <c r="C4348" s="49"/>
      <c r="D4348" s="49">
        <v>7</v>
      </c>
      <c r="E4348" s="49" t="s">
        <v>0</v>
      </c>
      <c r="F4348" s="49">
        <f t="shared" ref="F4348:F4353" si="284">H4341-5</f>
        <v>245</v>
      </c>
      <c r="G4348" s="49">
        <f t="shared" ref="G4348:G4353" si="285">G4341-5</f>
        <v>45</v>
      </c>
      <c r="H4348" s="50">
        <f t="shared" si="283"/>
        <v>255</v>
      </c>
      <c r="I4348" s="50">
        <f t="shared" si="283"/>
        <v>55</v>
      </c>
      <c r="J4348" s="49"/>
      <c r="K4348" s="49"/>
      <c r="L4348" s="49"/>
      <c r="M4348" s="49"/>
      <c r="N4348" s="49"/>
      <c r="O4348" s="49"/>
      <c r="P4348" s="49"/>
      <c r="Q4348" s="49"/>
      <c r="R4348" s="49"/>
      <c r="S4348" s="49"/>
      <c r="T4348" s="49"/>
      <c r="U4348" s="49"/>
      <c r="V4348" s="49"/>
    </row>
    <row r="4349" spans="1:22">
      <c r="A4349" s="49"/>
      <c r="B4349" s="49"/>
      <c r="C4349" s="49"/>
      <c r="D4349" s="49">
        <v>7</v>
      </c>
      <c r="E4349" s="49" t="s">
        <v>0</v>
      </c>
      <c r="F4349" s="49">
        <f t="shared" si="284"/>
        <v>245</v>
      </c>
      <c r="G4349" s="49">
        <f t="shared" si="285"/>
        <v>95</v>
      </c>
      <c r="H4349" s="50">
        <f t="shared" si="283"/>
        <v>255</v>
      </c>
      <c r="I4349" s="50">
        <f t="shared" si="283"/>
        <v>105</v>
      </c>
      <c r="J4349" s="49"/>
      <c r="K4349" s="49"/>
      <c r="L4349" s="49"/>
      <c r="M4349" s="49"/>
      <c r="N4349" s="49"/>
      <c r="O4349" s="49"/>
      <c r="P4349" s="49"/>
      <c r="Q4349" s="49"/>
      <c r="R4349" s="49"/>
      <c r="S4349" s="49"/>
      <c r="T4349" s="49"/>
      <c r="U4349" s="49"/>
      <c r="V4349" s="49"/>
    </row>
    <row r="4350" spans="1:22">
      <c r="A4350" s="49"/>
      <c r="B4350" s="49"/>
      <c r="C4350" s="49"/>
      <c r="D4350" s="49">
        <v>7</v>
      </c>
      <c r="E4350" s="49" t="s">
        <v>0</v>
      </c>
      <c r="F4350" s="49">
        <f t="shared" si="284"/>
        <v>95</v>
      </c>
      <c r="G4350" s="49">
        <f t="shared" si="285"/>
        <v>255</v>
      </c>
      <c r="H4350" s="50">
        <f t="shared" si="283"/>
        <v>105</v>
      </c>
      <c r="I4350" s="50">
        <f t="shared" si="283"/>
        <v>265</v>
      </c>
      <c r="J4350" s="49"/>
      <c r="K4350" s="49"/>
      <c r="L4350" s="49"/>
      <c r="M4350" s="49"/>
      <c r="N4350" s="49"/>
      <c r="O4350" s="49"/>
      <c r="P4350" s="49"/>
      <c r="Q4350" s="49"/>
      <c r="R4350" s="49"/>
      <c r="S4350" s="49"/>
      <c r="T4350" s="49"/>
      <c r="U4350" s="49"/>
      <c r="V4350" s="49"/>
    </row>
    <row r="4351" spans="1:22">
      <c r="A4351" s="49"/>
      <c r="B4351" s="49"/>
      <c r="C4351" s="49"/>
      <c r="D4351" s="49">
        <v>7</v>
      </c>
      <c r="E4351" s="49" t="s">
        <v>0</v>
      </c>
      <c r="F4351" s="49">
        <f t="shared" si="284"/>
        <v>95</v>
      </c>
      <c r="G4351" s="49">
        <f t="shared" si="285"/>
        <v>355</v>
      </c>
      <c r="H4351" s="50">
        <f t="shared" si="283"/>
        <v>105</v>
      </c>
      <c r="I4351" s="50">
        <f t="shared" si="283"/>
        <v>365</v>
      </c>
      <c r="J4351" s="49"/>
      <c r="K4351" s="49"/>
      <c r="L4351" s="49"/>
      <c r="M4351" s="49"/>
      <c r="N4351" s="49"/>
      <c r="O4351" s="49"/>
      <c r="P4351" s="49"/>
      <c r="Q4351" s="49"/>
      <c r="R4351" s="49"/>
      <c r="S4351" s="49"/>
      <c r="T4351" s="49"/>
      <c r="U4351" s="49"/>
      <c r="V4351" s="49"/>
    </row>
    <row r="4352" spans="1:22">
      <c r="A4352" s="49"/>
      <c r="B4352" s="49"/>
      <c r="C4352" s="49"/>
      <c r="D4352" s="49">
        <v>7</v>
      </c>
      <c r="E4352" s="49" t="s">
        <v>0</v>
      </c>
      <c r="F4352" s="49">
        <f t="shared" si="284"/>
        <v>45</v>
      </c>
      <c r="G4352" s="49">
        <f t="shared" si="285"/>
        <v>420</v>
      </c>
      <c r="H4352" s="50">
        <f t="shared" si="283"/>
        <v>55</v>
      </c>
      <c r="I4352" s="50">
        <f t="shared" si="283"/>
        <v>430</v>
      </c>
      <c r="J4352" s="48"/>
      <c r="K4352" s="49"/>
      <c r="L4352" s="49"/>
      <c r="M4352" s="49"/>
      <c r="N4352" s="49"/>
      <c r="O4352" s="49"/>
      <c r="P4352" s="49"/>
      <c r="Q4352" s="49"/>
      <c r="R4352" s="49"/>
      <c r="S4352" s="49"/>
      <c r="T4352" s="49"/>
      <c r="U4352" s="49"/>
      <c r="V4352" s="49"/>
    </row>
    <row r="4353" spans="1:22">
      <c r="A4353" s="49"/>
      <c r="B4353" s="49"/>
      <c r="C4353" s="49"/>
      <c r="D4353" s="49">
        <v>7</v>
      </c>
      <c r="E4353" s="49" t="s">
        <v>0</v>
      </c>
      <c r="F4353" s="49">
        <f t="shared" si="284"/>
        <v>45</v>
      </c>
      <c r="G4353" s="49">
        <f t="shared" si="285"/>
        <v>470</v>
      </c>
      <c r="H4353" s="50">
        <f t="shared" si="283"/>
        <v>55</v>
      </c>
      <c r="I4353" s="50">
        <f t="shared" si="283"/>
        <v>480</v>
      </c>
      <c r="J4353" s="49"/>
      <c r="K4353" s="49"/>
      <c r="L4353" s="49"/>
      <c r="M4353" s="49"/>
      <c r="N4353" s="49"/>
      <c r="O4353" s="49"/>
      <c r="P4353" s="49"/>
      <c r="Q4353" s="49"/>
      <c r="R4353" s="49"/>
      <c r="S4353" s="49"/>
      <c r="T4353" s="49"/>
      <c r="U4353" s="49"/>
      <c r="V4353" s="49"/>
    </row>
    <row r="4354" spans="1:22">
      <c r="A4354" s="49"/>
      <c r="B4354" s="49"/>
      <c r="C4354" s="49"/>
      <c r="D4354" s="49">
        <f t="shared" ref="D4354:D4359" si="286">F4354*2+4</f>
        <v>10</v>
      </c>
      <c r="E4354" s="49" t="s">
        <v>4</v>
      </c>
      <c r="F4354" s="49">
        <v>3</v>
      </c>
      <c r="G4354" s="49">
        <f>G4339+575</f>
        <v>585</v>
      </c>
      <c r="H4354" s="49">
        <f>H4339</f>
        <v>350</v>
      </c>
      <c r="I4354" s="49">
        <f>I4339+575</f>
        <v>625</v>
      </c>
      <c r="J4354" s="49">
        <f>J4339</f>
        <v>250</v>
      </c>
      <c r="K4354" s="49">
        <f t="shared" ref="K4354:K4359" si="287">I4354</f>
        <v>625</v>
      </c>
      <c r="L4354" s="49">
        <f>H4354</f>
        <v>350</v>
      </c>
      <c r="M4354" s="49"/>
      <c r="N4354" s="49"/>
      <c r="O4354" s="49"/>
      <c r="P4354" s="49"/>
      <c r="Q4354" s="49"/>
      <c r="R4354" s="49"/>
      <c r="S4354" s="49"/>
      <c r="T4354" s="49"/>
      <c r="U4354" s="49"/>
      <c r="V4354" s="49"/>
    </row>
    <row r="4355" spans="1:22">
      <c r="A4355" s="49"/>
      <c r="B4355" s="49"/>
      <c r="C4355" s="49"/>
      <c r="D4355" s="49">
        <f t="shared" si="286"/>
        <v>12</v>
      </c>
      <c r="E4355" s="49" t="s">
        <v>4</v>
      </c>
      <c r="F4355" s="49">
        <v>4</v>
      </c>
      <c r="G4355" s="49">
        <f>I4339+600</f>
        <v>650</v>
      </c>
      <c r="H4355" s="50">
        <f>J4339</f>
        <v>250</v>
      </c>
      <c r="I4355" s="49">
        <f>K4339+600</f>
        <v>700</v>
      </c>
      <c r="J4355" s="49">
        <f>L4339</f>
        <v>250</v>
      </c>
      <c r="K4355" s="49">
        <f t="shared" si="287"/>
        <v>700</v>
      </c>
      <c r="L4355" s="49">
        <f>L4354</f>
        <v>350</v>
      </c>
      <c r="M4355" s="49">
        <f>G4355</f>
        <v>650</v>
      </c>
      <c r="N4355" s="49">
        <f>L4354</f>
        <v>350</v>
      </c>
      <c r="O4355" s="49"/>
      <c r="P4355" s="49"/>
      <c r="Q4355" s="49"/>
      <c r="R4355" s="49"/>
      <c r="S4355" s="49"/>
      <c r="T4355" s="49"/>
      <c r="U4355" s="49"/>
      <c r="V4355" s="49"/>
    </row>
    <row r="4356" spans="1:22">
      <c r="A4356" s="49"/>
      <c r="B4356" s="49"/>
      <c r="C4356" s="49"/>
      <c r="D4356" s="49">
        <f t="shared" si="286"/>
        <v>12</v>
      </c>
      <c r="E4356" s="49" t="s">
        <v>4</v>
      </c>
      <c r="F4356" s="49">
        <v>4</v>
      </c>
      <c r="G4356" s="49">
        <f>K4339+625</f>
        <v>725</v>
      </c>
      <c r="H4356" s="50">
        <f>L4339</f>
        <v>250</v>
      </c>
      <c r="I4356" s="49">
        <f>M4339+625</f>
        <v>885</v>
      </c>
      <c r="J4356" s="50">
        <f>N4339</f>
        <v>100</v>
      </c>
      <c r="K4356" s="49">
        <f t="shared" si="287"/>
        <v>885</v>
      </c>
      <c r="L4356" s="49">
        <f>L4355</f>
        <v>350</v>
      </c>
      <c r="M4356" s="49">
        <f>G4356</f>
        <v>725</v>
      </c>
      <c r="N4356" s="49">
        <f>L4355</f>
        <v>350</v>
      </c>
      <c r="O4356" s="49"/>
      <c r="P4356" s="49"/>
      <c r="Q4356" s="49"/>
      <c r="R4356" s="49"/>
      <c r="S4356" s="49"/>
      <c r="T4356" s="49"/>
      <c r="U4356" s="49"/>
      <c r="V4356" s="49"/>
    </row>
    <row r="4357" spans="1:22">
      <c r="A4357" s="49"/>
      <c r="B4357" s="49"/>
      <c r="C4357" s="49"/>
      <c r="D4357" s="49">
        <f t="shared" si="286"/>
        <v>12</v>
      </c>
      <c r="E4357" s="49" t="s">
        <v>4</v>
      </c>
      <c r="F4357" s="49">
        <v>4</v>
      </c>
      <c r="G4357" s="49">
        <f>M4339+650</f>
        <v>910</v>
      </c>
      <c r="H4357" s="50">
        <f>N4339</f>
        <v>100</v>
      </c>
      <c r="I4357" s="49">
        <f>O4339+650</f>
        <v>1010</v>
      </c>
      <c r="J4357" s="50">
        <f>P4339</f>
        <v>100</v>
      </c>
      <c r="K4357" s="49">
        <f t="shared" si="287"/>
        <v>1010</v>
      </c>
      <c r="L4357" s="49">
        <f>L4356</f>
        <v>350</v>
      </c>
      <c r="M4357" s="49">
        <f>G4357</f>
        <v>910</v>
      </c>
      <c r="N4357" s="49">
        <f>L4356</f>
        <v>350</v>
      </c>
      <c r="O4357" s="49"/>
      <c r="P4357" s="49"/>
      <c r="Q4357" s="49"/>
      <c r="R4357" s="49"/>
      <c r="S4357" s="49"/>
      <c r="T4357" s="49"/>
      <c r="U4357" s="49"/>
      <c r="V4357" s="49"/>
    </row>
    <row r="4358" spans="1:22">
      <c r="A4358" s="49"/>
      <c r="B4358" s="49"/>
      <c r="C4358" s="49"/>
      <c r="D4358" s="49">
        <f t="shared" si="286"/>
        <v>12</v>
      </c>
      <c r="E4358" s="49" t="s">
        <v>4</v>
      </c>
      <c r="F4358" s="49">
        <v>4</v>
      </c>
      <c r="G4358" s="49">
        <f>O4339+675</f>
        <v>1035</v>
      </c>
      <c r="H4358" s="50">
        <f>P4339</f>
        <v>100</v>
      </c>
      <c r="I4358" s="49">
        <f>Q4339+675</f>
        <v>1100</v>
      </c>
      <c r="J4358" s="50">
        <f>R4339</f>
        <v>50</v>
      </c>
      <c r="K4358" s="49">
        <f t="shared" si="287"/>
        <v>1100</v>
      </c>
      <c r="L4358" s="49">
        <f>L4357</f>
        <v>350</v>
      </c>
      <c r="M4358" s="49">
        <f>G4358</f>
        <v>1035</v>
      </c>
      <c r="N4358" s="49">
        <f>L4357</f>
        <v>350</v>
      </c>
      <c r="O4358" s="49"/>
      <c r="P4358" s="49"/>
      <c r="Q4358" s="49"/>
      <c r="R4358" s="49"/>
      <c r="S4358" s="49"/>
      <c r="T4358" s="49"/>
      <c r="U4358" s="49"/>
      <c r="V4358" s="49"/>
    </row>
    <row r="4359" spans="1:22">
      <c r="A4359" s="49"/>
      <c r="B4359" s="49"/>
      <c r="C4359" s="49"/>
      <c r="D4359" s="49">
        <f t="shared" si="286"/>
        <v>12</v>
      </c>
      <c r="E4359" s="49" t="s">
        <v>4</v>
      </c>
      <c r="F4359" s="49">
        <v>4</v>
      </c>
      <c r="G4359" s="49">
        <f>Q4339+700</f>
        <v>1125</v>
      </c>
      <c r="H4359" s="50">
        <f>R4339</f>
        <v>50</v>
      </c>
      <c r="I4359" s="49">
        <f>S4339+700</f>
        <v>1175</v>
      </c>
      <c r="J4359" s="50">
        <f>T4339</f>
        <v>50</v>
      </c>
      <c r="K4359" s="49">
        <f t="shared" si="287"/>
        <v>1175</v>
      </c>
      <c r="L4359" s="49">
        <f>L4358</f>
        <v>350</v>
      </c>
      <c r="M4359" s="49">
        <f>G4359</f>
        <v>1125</v>
      </c>
      <c r="N4359" s="49">
        <f>L4358</f>
        <v>350</v>
      </c>
      <c r="O4359" s="49"/>
      <c r="P4359" s="49"/>
      <c r="Q4359" s="49"/>
      <c r="R4359" s="49"/>
      <c r="S4359" s="49"/>
      <c r="T4359" s="49"/>
      <c r="U4359" s="49"/>
      <c r="V4359" s="49"/>
    </row>
    <row r="4360" spans="1:22">
      <c r="A4360" s="49"/>
      <c r="B4360" s="49"/>
      <c r="C4360" s="49"/>
      <c r="D4360" s="49">
        <v>7</v>
      </c>
      <c r="E4360" s="49" t="s">
        <v>0</v>
      </c>
      <c r="F4360" s="49">
        <f t="shared" ref="F4360:F4365" si="288">H4354-5</f>
        <v>345</v>
      </c>
      <c r="G4360" s="49">
        <f t="shared" ref="G4360:G4365" si="289">G4354-5</f>
        <v>580</v>
      </c>
      <c r="H4360" s="50">
        <f t="shared" ref="H4360:I4371" si="290">F4360+10</f>
        <v>355</v>
      </c>
      <c r="I4360" s="50">
        <f t="shared" si="290"/>
        <v>590</v>
      </c>
      <c r="J4360" s="49"/>
      <c r="K4360" s="49"/>
      <c r="L4360" s="49"/>
      <c r="M4360" s="49"/>
      <c r="N4360" s="49"/>
      <c r="O4360" s="49"/>
      <c r="P4360" s="49"/>
      <c r="Q4360" s="49"/>
      <c r="R4360" s="49"/>
      <c r="S4360" s="49"/>
      <c r="T4360" s="49"/>
      <c r="U4360" s="49"/>
      <c r="V4360" s="49"/>
    </row>
    <row r="4361" spans="1:22">
      <c r="A4361" s="49"/>
      <c r="B4361" s="49"/>
      <c r="C4361" s="49"/>
      <c r="D4361" s="49">
        <v>7</v>
      </c>
      <c r="E4361" s="49" t="s">
        <v>0</v>
      </c>
      <c r="F4361" s="49">
        <f t="shared" si="288"/>
        <v>245</v>
      </c>
      <c r="G4361" s="49">
        <f t="shared" si="289"/>
        <v>645</v>
      </c>
      <c r="H4361" s="50">
        <f t="shared" si="290"/>
        <v>255</v>
      </c>
      <c r="I4361" s="50">
        <f t="shared" si="290"/>
        <v>655</v>
      </c>
      <c r="J4361" s="49"/>
      <c r="K4361" s="49"/>
      <c r="L4361" s="49"/>
      <c r="M4361" s="49"/>
      <c r="N4361" s="49"/>
      <c r="O4361" s="49"/>
      <c r="P4361" s="49"/>
      <c r="Q4361" s="49"/>
      <c r="R4361" s="49"/>
      <c r="S4361" s="49"/>
      <c r="T4361" s="49"/>
      <c r="U4361" s="49"/>
      <c r="V4361" s="49"/>
    </row>
    <row r="4362" spans="1:22">
      <c r="A4362" s="49"/>
      <c r="B4362" s="49"/>
      <c r="C4362" s="49"/>
      <c r="D4362" s="49">
        <v>7</v>
      </c>
      <c r="E4362" s="49" t="s">
        <v>0</v>
      </c>
      <c r="F4362" s="49">
        <f t="shared" si="288"/>
        <v>245</v>
      </c>
      <c r="G4362" s="49">
        <f t="shared" si="289"/>
        <v>720</v>
      </c>
      <c r="H4362" s="50">
        <f t="shared" si="290"/>
        <v>255</v>
      </c>
      <c r="I4362" s="50">
        <f t="shared" si="290"/>
        <v>730</v>
      </c>
      <c r="J4362" s="49"/>
      <c r="K4362" s="49"/>
      <c r="L4362" s="49"/>
      <c r="M4362" s="49"/>
      <c r="N4362" s="49"/>
      <c r="O4362" s="49"/>
      <c r="P4362" s="49"/>
      <c r="Q4362" s="49"/>
      <c r="R4362" s="49"/>
      <c r="S4362" s="49"/>
      <c r="T4362" s="49"/>
      <c r="U4362" s="49"/>
      <c r="V4362" s="49"/>
    </row>
    <row r="4363" spans="1:22">
      <c r="A4363" s="49"/>
      <c r="B4363" s="49"/>
      <c r="C4363" s="49"/>
      <c r="D4363" s="49">
        <v>7</v>
      </c>
      <c r="E4363" s="49" t="s">
        <v>0</v>
      </c>
      <c r="F4363" s="49">
        <f t="shared" si="288"/>
        <v>95</v>
      </c>
      <c r="G4363" s="49">
        <f t="shared" si="289"/>
        <v>905</v>
      </c>
      <c r="H4363" s="50">
        <f t="shared" si="290"/>
        <v>105</v>
      </c>
      <c r="I4363" s="50">
        <f t="shared" si="290"/>
        <v>915</v>
      </c>
      <c r="J4363" s="49"/>
      <c r="K4363" s="49"/>
      <c r="L4363" s="49"/>
      <c r="M4363" s="49"/>
      <c r="N4363" s="49"/>
      <c r="O4363" s="49"/>
      <c r="P4363" s="49"/>
      <c r="Q4363" s="49"/>
      <c r="R4363" s="49"/>
      <c r="S4363" s="49"/>
      <c r="T4363" s="49"/>
      <c r="U4363" s="49"/>
      <c r="V4363" s="49"/>
    </row>
    <row r="4364" spans="1:22">
      <c r="A4364" s="49"/>
      <c r="B4364" s="49"/>
      <c r="C4364" s="49"/>
      <c r="D4364" s="49">
        <v>7</v>
      </c>
      <c r="E4364" s="49" t="s">
        <v>0</v>
      </c>
      <c r="F4364" s="49">
        <f t="shared" si="288"/>
        <v>95</v>
      </c>
      <c r="G4364" s="49">
        <f t="shared" si="289"/>
        <v>1030</v>
      </c>
      <c r="H4364" s="50">
        <f t="shared" si="290"/>
        <v>105</v>
      </c>
      <c r="I4364" s="50">
        <f t="shared" si="290"/>
        <v>1040</v>
      </c>
      <c r="J4364" s="49"/>
      <c r="K4364" s="49"/>
      <c r="L4364" s="49"/>
      <c r="M4364" s="49"/>
      <c r="N4364" s="49"/>
      <c r="O4364" s="49"/>
      <c r="P4364" s="49"/>
      <c r="Q4364" s="49"/>
      <c r="R4364" s="49"/>
      <c r="S4364" s="49"/>
      <c r="T4364" s="49"/>
      <c r="U4364" s="49"/>
      <c r="V4364" s="49"/>
    </row>
    <row r="4365" spans="1:22">
      <c r="A4365" s="49"/>
      <c r="B4365" s="49"/>
      <c r="C4365" s="49"/>
      <c r="D4365" s="49">
        <v>7</v>
      </c>
      <c r="E4365" s="49" t="s">
        <v>0</v>
      </c>
      <c r="F4365" s="49">
        <f t="shared" si="288"/>
        <v>45</v>
      </c>
      <c r="G4365" s="49">
        <f t="shared" si="289"/>
        <v>1120</v>
      </c>
      <c r="H4365" s="50">
        <f t="shared" si="290"/>
        <v>55</v>
      </c>
      <c r="I4365" s="50">
        <f t="shared" si="290"/>
        <v>1130</v>
      </c>
      <c r="J4365" s="49"/>
      <c r="K4365" s="49"/>
      <c r="L4365" s="49"/>
      <c r="M4365" s="49"/>
      <c r="N4365" s="49"/>
      <c r="O4365" s="49"/>
      <c r="P4365" s="49"/>
      <c r="Q4365" s="49"/>
      <c r="R4365" s="49"/>
      <c r="S4365" s="49"/>
      <c r="T4365" s="49"/>
      <c r="U4365" s="49"/>
      <c r="V4365" s="49"/>
    </row>
    <row r="4366" spans="1:22">
      <c r="A4366" s="49"/>
      <c r="B4366" s="49"/>
      <c r="C4366" s="49"/>
      <c r="D4366" s="49">
        <v>7</v>
      </c>
      <c r="E4366" s="49" t="s">
        <v>0</v>
      </c>
      <c r="F4366" s="49">
        <f t="shared" ref="F4366:F4371" si="291">J4354-5</f>
        <v>245</v>
      </c>
      <c r="G4366" s="49">
        <f t="shared" ref="G4366:G4371" si="292">I4354-5</f>
        <v>620</v>
      </c>
      <c r="H4366" s="50">
        <f t="shared" si="290"/>
        <v>255</v>
      </c>
      <c r="I4366" s="50">
        <f t="shared" si="290"/>
        <v>630</v>
      </c>
      <c r="J4366" s="49"/>
      <c r="K4366" s="49"/>
      <c r="L4366" s="49"/>
      <c r="M4366" s="49"/>
      <c r="N4366" s="49"/>
      <c r="O4366" s="49"/>
      <c r="P4366" s="49"/>
      <c r="Q4366" s="49"/>
      <c r="R4366" s="49"/>
      <c r="S4366" s="49"/>
      <c r="T4366" s="49"/>
      <c r="U4366" s="49"/>
      <c r="V4366" s="49"/>
    </row>
    <row r="4367" spans="1:22">
      <c r="A4367" s="49"/>
      <c r="B4367" s="49"/>
      <c r="C4367" s="49"/>
      <c r="D4367" s="49">
        <v>7</v>
      </c>
      <c r="E4367" s="49" t="s">
        <v>0</v>
      </c>
      <c r="F4367" s="49">
        <f t="shared" si="291"/>
        <v>245</v>
      </c>
      <c r="G4367" s="49">
        <f t="shared" si="292"/>
        <v>695</v>
      </c>
      <c r="H4367" s="50">
        <f t="shared" si="290"/>
        <v>255</v>
      </c>
      <c r="I4367" s="50">
        <f t="shared" si="290"/>
        <v>705</v>
      </c>
      <c r="J4367" s="49"/>
      <c r="K4367" s="49"/>
      <c r="L4367" s="49"/>
      <c r="M4367" s="49"/>
      <c r="N4367" s="49"/>
      <c r="O4367" s="49"/>
      <c r="P4367" s="49"/>
      <c r="Q4367" s="49"/>
      <c r="R4367" s="49"/>
      <c r="S4367" s="49"/>
      <c r="T4367" s="49"/>
      <c r="U4367" s="49"/>
      <c r="V4367" s="49"/>
    </row>
    <row r="4368" spans="1:22">
      <c r="A4368" s="49"/>
      <c r="B4368" s="49"/>
      <c r="C4368" s="49"/>
      <c r="D4368" s="49">
        <v>7</v>
      </c>
      <c r="E4368" s="49" t="s">
        <v>0</v>
      </c>
      <c r="F4368" s="49">
        <f t="shared" si="291"/>
        <v>95</v>
      </c>
      <c r="G4368" s="49">
        <f t="shared" si="292"/>
        <v>880</v>
      </c>
      <c r="H4368" s="50">
        <f t="shared" si="290"/>
        <v>105</v>
      </c>
      <c r="I4368" s="50">
        <f t="shared" si="290"/>
        <v>890</v>
      </c>
      <c r="J4368" s="49"/>
      <c r="K4368" s="49"/>
      <c r="L4368" s="49"/>
      <c r="M4368" s="49"/>
      <c r="N4368" s="49"/>
      <c r="O4368" s="49"/>
      <c r="P4368" s="49"/>
      <c r="Q4368" s="49"/>
      <c r="R4368" s="49"/>
      <c r="S4368" s="49"/>
      <c r="T4368" s="49"/>
      <c r="U4368" s="49"/>
      <c r="V4368" s="49"/>
    </row>
    <row r="4369" spans="1:22">
      <c r="A4369" s="49"/>
      <c r="B4369" s="49"/>
      <c r="C4369" s="49"/>
      <c r="D4369" s="49">
        <v>7</v>
      </c>
      <c r="E4369" s="49" t="s">
        <v>0</v>
      </c>
      <c r="F4369" s="49">
        <f t="shared" si="291"/>
        <v>95</v>
      </c>
      <c r="G4369" s="49">
        <f t="shared" si="292"/>
        <v>1005</v>
      </c>
      <c r="H4369" s="50">
        <f t="shared" si="290"/>
        <v>105</v>
      </c>
      <c r="I4369" s="50">
        <f t="shared" si="290"/>
        <v>1015</v>
      </c>
      <c r="J4369" s="49"/>
      <c r="K4369" s="49"/>
      <c r="L4369" s="49"/>
      <c r="M4369" s="49"/>
      <c r="N4369" s="49"/>
      <c r="O4369" s="49"/>
      <c r="P4369" s="49"/>
      <c r="Q4369" s="49"/>
      <c r="R4369" s="49"/>
      <c r="S4369" s="49"/>
      <c r="T4369" s="49"/>
      <c r="U4369" s="49"/>
      <c r="V4369" s="49"/>
    </row>
    <row r="4370" spans="1:22">
      <c r="A4370" s="49"/>
      <c r="B4370" s="49"/>
      <c r="C4370" s="49"/>
      <c r="D4370" s="49">
        <v>7</v>
      </c>
      <c r="E4370" s="49" t="s">
        <v>0</v>
      </c>
      <c r="F4370" s="49">
        <f t="shared" si="291"/>
        <v>45</v>
      </c>
      <c r="G4370" s="49">
        <f t="shared" si="292"/>
        <v>1095</v>
      </c>
      <c r="H4370" s="50">
        <f t="shared" si="290"/>
        <v>55</v>
      </c>
      <c r="I4370" s="50">
        <f t="shared" si="290"/>
        <v>1105</v>
      </c>
      <c r="J4370" s="49"/>
      <c r="K4370" s="49"/>
      <c r="L4370" s="49"/>
      <c r="M4370" s="49"/>
      <c r="N4370" s="49"/>
      <c r="O4370" s="49"/>
      <c r="P4370" s="49"/>
      <c r="Q4370" s="49"/>
      <c r="R4370" s="49"/>
      <c r="S4370" s="49"/>
      <c r="T4370" s="49"/>
      <c r="U4370" s="49"/>
      <c r="V4370" s="49"/>
    </row>
    <row r="4371" spans="1:22">
      <c r="A4371" s="49"/>
      <c r="B4371" s="49"/>
      <c r="C4371" s="49"/>
      <c r="D4371" s="49">
        <v>7</v>
      </c>
      <c r="E4371" s="49" t="s">
        <v>0</v>
      </c>
      <c r="F4371" s="49">
        <f t="shared" si="291"/>
        <v>45</v>
      </c>
      <c r="G4371" s="49">
        <f t="shared" si="292"/>
        <v>1170</v>
      </c>
      <c r="H4371" s="50">
        <f t="shared" si="290"/>
        <v>55</v>
      </c>
      <c r="I4371" s="50">
        <f t="shared" si="290"/>
        <v>1180</v>
      </c>
      <c r="J4371" s="49"/>
      <c r="K4371" s="49"/>
      <c r="L4371" s="49"/>
      <c r="M4371" s="49"/>
      <c r="N4371" s="49"/>
      <c r="O4371" s="49"/>
      <c r="P4371" s="49"/>
      <c r="Q4371" s="49"/>
      <c r="R4371" s="49"/>
      <c r="S4371" s="49"/>
      <c r="T4371" s="49"/>
      <c r="U4371" s="49"/>
      <c r="V4371" s="49"/>
    </row>
    <row r="4372" spans="1:22">
      <c r="A4372" s="49"/>
      <c r="B4372" s="49"/>
      <c r="C4372" s="49"/>
      <c r="D4372" s="49">
        <f t="shared" ref="D4372:D4385" si="293">ROUNDUP(6+F4372/2,0)</f>
        <v>7</v>
      </c>
      <c r="E4372" s="49" t="s">
        <v>6</v>
      </c>
      <c r="F4372" s="49">
        <f t="shared" ref="F4372:F4385" si="294">LEN(G4372)</f>
        <v>2</v>
      </c>
      <c r="G4372" s="49" t="s">
        <v>670</v>
      </c>
      <c r="H4372" s="50">
        <f t="shared" ref="H4372:H4378" si="295">F4347-30</f>
        <v>315</v>
      </c>
      <c r="I4372" s="50">
        <f>G4347+5</f>
        <v>10</v>
      </c>
      <c r="J4372" s="49"/>
      <c r="K4372" s="49"/>
      <c r="L4372" s="49"/>
      <c r="M4372" s="49"/>
      <c r="N4372" s="49"/>
      <c r="O4372" s="49"/>
      <c r="P4372" s="49"/>
      <c r="Q4372" s="49"/>
      <c r="R4372" s="49"/>
      <c r="S4372" s="49"/>
      <c r="T4372" s="49"/>
      <c r="U4372" s="49"/>
      <c r="V4372" s="49"/>
    </row>
    <row r="4373" spans="1:22">
      <c r="A4373" s="49"/>
      <c r="B4373" s="49"/>
      <c r="C4373" s="49"/>
      <c r="D4373" s="49">
        <f t="shared" si="293"/>
        <v>7</v>
      </c>
      <c r="E4373" s="49" t="s">
        <v>6</v>
      </c>
      <c r="F4373" s="49">
        <f t="shared" si="294"/>
        <v>2</v>
      </c>
      <c r="G4373" s="49" t="s">
        <v>130</v>
      </c>
      <c r="H4373" s="50">
        <f t="shared" si="295"/>
        <v>215</v>
      </c>
      <c r="I4373" s="50">
        <f>G4348-15</f>
        <v>30</v>
      </c>
      <c r="J4373" s="49"/>
      <c r="K4373" s="49"/>
      <c r="L4373" s="49"/>
      <c r="M4373" s="49"/>
      <c r="N4373" s="49"/>
      <c r="O4373" s="49"/>
      <c r="P4373" s="49"/>
      <c r="Q4373" s="49"/>
      <c r="R4373" s="49"/>
      <c r="S4373" s="49"/>
      <c r="T4373" s="49"/>
      <c r="U4373" s="49"/>
      <c r="V4373" s="49"/>
    </row>
    <row r="4374" spans="1:22">
      <c r="A4374" s="49"/>
      <c r="B4374" s="49"/>
      <c r="C4374" s="49"/>
      <c r="D4374" s="49">
        <f t="shared" si="293"/>
        <v>7</v>
      </c>
      <c r="E4374" s="49" t="s">
        <v>6</v>
      </c>
      <c r="F4374" s="49">
        <f t="shared" si="294"/>
        <v>2</v>
      </c>
      <c r="G4374" s="49" t="s">
        <v>285</v>
      </c>
      <c r="H4374" s="50">
        <f t="shared" si="295"/>
        <v>215</v>
      </c>
      <c r="I4374" s="50">
        <f>G4349-20</f>
        <v>75</v>
      </c>
      <c r="J4374" s="49"/>
      <c r="K4374" s="49"/>
      <c r="L4374" s="49"/>
      <c r="M4374" s="49"/>
      <c r="N4374" s="49"/>
      <c r="O4374" s="49"/>
      <c r="P4374" s="49"/>
      <c r="Q4374" s="49"/>
      <c r="R4374" s="49"/>
      <c r="S4374" s="49"/>
      <c r="T4374" s="49"/>
      <c r="U4374" s="49"/>
      <c r="V4374" s="49"/>
    </row>
    <row r="4375" spans="1:22">
      <c r="A4375" s="49"/>
      <c r="B4375" s="49"/>
      <c r="C4375" s="49"/>
      <c r="D4375" s="49">
        <f t="shared" si="293"/>
        <v>7</v>
      </c>
      <c r="E4375" s="49" t="s">
        <v>6</v>
      </c>
      <c r="F4375" s="49">
        <f t="shared" si="294"/>
        <v>2</v>
      </c>
      <c r="G4375" s="49" t="s">
        <v>131</v>
      </c>
      <c r="H4375" s="50">
        <f t="shared" si="295"/>
        <v>65</v>
      </c>
      <c r="I4375" s="50">
        <f>G4350-15</f>
        <v>240</v>
      </c>
      <c r="J4375" s="49"/>
      <c r="K4375" s="49"/>
      <c r="L4375" s="49"/>
      <c r="M4375" s="49"/>
      <c r="N4375" s="49"/>
      <c r="O4375" s="49"/>
      <c r="P4375" s="49"/>
      <c r="Q4375" s="49"/>
      <c r="R4375" s="49"/>
      <c r="S4375" s="49"/>
      <c r="T4375" s="49"/>
      <c r="U4375" s="49"/>
      <c r="V4375" s="49"/>
    </row>
    <row r="4376" spans="1:22">
      <c r="A4376" s="49"/>
      <c r="B4376" s="49"/>
      <c r="C4376" s="49"/>
      <c r="D4376" s="49">
        <f t="shared" si="293"/>
        <v>7</v>
      </c>
      <c r="E4376" s="49" t="s">
        <v>6</v>
      </c>
      <c r="F4376" s="49">
        <f t="shared" si="294"/>
        <v>2</v>
      </c>
      <c r="G4376" s="49" t="s">
        <v>664</v>
      </c>
      <c r="H4376" s="50">
        <f t="shared" si="295"/>
        <v>65</v>
      </c>
      <c r="I4376" s="50">
        <f>G4351-25</f>
        <v>330</v>
      </c>
      <c r="J4376" s="49"/>
      <c r="K4376" s="49"/>
      <c r="L4376" s="49"/>
      <c r="M4376" s="49"/>
      <c r="N4376" s="49"/>
      <c r="O4376" s="49"/>
      <c r="P4376" s="49"/>
      <c r="Q4376" s="49"/>
      <c r="R4376" s="49"/>
      <c r="S4376" s="49"/>
      <c r="T4376" s="49"/>
      <c r="U4376" s="49"/>
      <c r="V4376" s="49"/>
    </row>
    <row r="4377" spans="1:22">
      <c r="A4377" s="49"/>
      <c r="B4377" s="49"/>
      <c r="C4377" s="49"/>
      <c r="D4377" s="49">
        <f t="shared" si="293"/>
        <v>7</v>
      </c>
      <c r="E4377" s="49" t="s">
        <v>6</v>
      </c>
      <c r="F4377" s="49">
        <f t="shared" si="294"/>
        <v>2</v>
      </c>
      <c r="G4377" s="49" t="s">
        <v>665</v>
      </c>
      <c r="H4377" s="50">
        <f t="shared" si="295"/>
        <v>15</v>
      </c>
      <c r="I4377" s="50">
        <f>G4352-15</f>
        <v>405</v>
      </c>
      <c r="J4377" s="49"/>
      <c r="K4377" s="49"/>
      <c r="L4377" s="49"/>
      <c r="M4377" s="49"/>
      <c r="N4377" s="49"/>
      <c r="O4377" s="49"/>
      <c r="P4377" s="49"/>
      <c r="Q4377" s="49"/>
      <c r="R4377" s="49"/>
      <c r="S4377" s="49"/>
      <c r="T4377" s="49"/>
      <c r="U4377" s="49"/>
      <c r="V4377" s="49"/>
    </row>
    <row r="4378" spans="1:22">
      <c r="A4378" s="49"/>
      <c r="B4378" s="49"/>
      <c r="C4378" s="49"/>
      <c r="D4378" s="49">
        <f t="shared" si="293"/>
        <v>7</v>
      </c>
      <c r="E4378" s="49" t="s">
        <v>6</v>
      </c>
      <c r="F4378" s="49">
        <f t="shared" si="294"/>
        <v>2</v>
      </c>
      <c r="G4378" s="49" t="s">
        <v>666</v>
      </c>
      <c r="H4378" s="50">
        <f t="shared" si="295"/>
        <v>15</v>
      </c>
      <c r="I4378" s="50">
        <f>G4353-15</f>
        <v>455</v>
      </c>
      <c r="J4378" s="49"/>
      <c r="K4378" s="49"/>
      <c r="L4378" s="49"/>
      <c r="M4378" s="49"/>
      <c r="N4378" s="49"/>
      <c r="O4378" s="49"/>
      <c r="P4378" s="49"/>
      <c r="Q4378" s="49"/>
      <c r="R4378" s="49"/>
      <c r="S4378" s="49"/>
      <c r="T4378" s="49"/>
      <c r="U4378" s="49"/>
      <c r="V4378" s="49"/>
    </row>
    <row r="4379" spans="1:22">
      <c r="A4379" s="49"/>
      <c r="B4379" s="49"/>
      <c r="C4379" s="49"/>
      <c r="D4379" s="49">
        <f t="shared" si="293"/>
        <v>7</v>
      </c>
      <c r="E4379" s="49" t="s">
        <v>6</v>
      </c>
      <c r="F4379" s="49">
        <f t="shared" si="294"/>
        <v>2</v>
      </c>
      <c r="G4379" s="49" t="s">
        <v>670</v>
      </c>
      <c r="H4379" s="50">
        <f>F4360-30</f>
        <v>315</v>
      </c>
      <c r="I4379" s="50">
        <f>G4360-25</f>
        <v>555</v>
      </c>
      <c r="J4379" s="49"/>
      <c r="K4379" s="49"/>
      <c r="L4379" s="49"/>
      <c r="M4379" s="49"/>
      <c r="N4379" s="49"/>
      <c r="O4379" s="49"/>
      <c r="P4379" s="49"/>
      <c r="Q4379" s="49"/>
      <c r="R4379" s="49"/>
      <c r="S4379" s="49"/>
      <c r="T4379" s="49"/>
      <c r="U4379" s="49"/>
      <c r="V4379" s="49"/>
    </row>
    <row r="4380" spans="1:22">
      <c r="A4380" s="49"/>
      <c r="B4380" s="49"/>
      <c r="C4380" s="49"/>
      <c r="D4380" s="49">
        <f t="shared" si="293"/>
        <v>7</v>
      </c>
      <c r="E4380" s="49" t="s">
        <v>6</v>
      </c>
      <c r="F4380" s="49">
        <f t="shared" si="294"/>
        <v>2</v>
      </c>
      <c r="G4380" s="49" t="s">
        <v>130</v>
      </c>
      <c r="H4380" s="50">
        <f t="shared" ref="H4380:H4385" si="296">F4366-30</f>
        <v>215</v>
      </c>
      <c r="I4380" s="50">
        <f>G4366</f>
        <v>620</v>
      </c>
      <c r="J4380" s="49"/>
      <c r="K4380" s="49"/>
      <c r="L4380" s="49"/>
      <c r="M4380" s="49"/>
      <c r="N4380" s="49"/>
      <c r="O4380" s="49"/>
      <c r="P4380" s="49"/>
      <c r="Q4380" s="49"/>
      <c r="R4380" s="49"/>
      <c r="S4380" s="49"/>
      <c r="T4380" s="49"/>
      <c r="U4380" s="49"/>
      <c r="V4380" s="49"/>
    </row>
    <row r="4381" spans="1:22">
      <c r="A4381" s="49"/>
      <c r="B4381" s="49"/>
      <c r="C4381" s="49"/>
      <c r="D4381" s="49">
        <f t="shared" si="293"/>
        <v>7</v>
      </c>
      <c r="E4381" s="49" t="s">
        <v>6</v>
      </c>
      <c r="F4381" s="49">
        <f t="shared" si="294"/>
        <v>2</v>
      </c>
      <c r="G4381" s="49" t="s">
        <v>285</v>
      </c>
      <c r="H4381" s="50">
        <f t="shared" si="296"/>
        <v>215</v>
      </c>
      <c r="I4381" s="50">
        <f>G4367</f>
        <v>695</v>
      </c>
      <c r="J4381" s="49"/>
      <c r="K4381" s="49"/>
      <c r="L4381" s="49"/>
      <c r="M4381" s="49"/>
      <c r="N4381" s="49"/>
      <c r="O4381" s="49"/>
      <c r="P4381" s="49"/>
      <c r="Q4381" s="49"/>
      <c r="R4381" s="49"/>
      <c r="S4381" s="49"/>
      <c r="T4381" s="49"/>
      <c r="U4381" s="49"/>
      <c r="V4381" s="49"/>
    </row>
    <row r="4382" spans="1:22">
      <c r="A4382" s="49"/>
      <c r="B4382" s="49"/>
      <c r="C4382" s="49"/>
      <c r="D4382" s="49">
        <f t="shared" si="293"/>
        <v>7</v>
      </c>
      <c r="E4382" s="49" t="s">
        <v>6</v>
      </c>
      <c r="F4382" s="49">
        <f t="shared" si="294"/>
        <v>2</v>
      </c>
      <c r="G4382" s="49" t="s">
        <v>131</v>
      </c>
      <c r="H4382" s="50">
        <f t="shared" si="296"/>
        <v>65</v>
      </c>
      <c r="I4382" s="50">
        <f>G4368</f>
        <v>880</v>
      </c>
      <c r="J4382" s="49"/>
      <c r="K4382" s="49"/>
      <c r="L4382" s="49"/>
      <c r="M4382" s="49"/>
      <c r="N4382" s="49"/>
      <c r="O4382" s="49"/>
      <c r="P4382" s="49"/>
      <c r="Q4382" s="49"/>
      <c r="R4382" s="49"/>
      <c r="S4382" s="49"/>
      <c r="T4382" s="49"/>
      <c r="U4382" s="49"/>
      <c r="V4382" s="49"/>
    </row>
    <row r="4383" spans="1:22">
      <c r="A4383" s="49"/>
      <c r="B4383" s="49"/>
      <c r="C4383" s="49"/>
      <c r="D4383" s="49">
        <f t="shared" si="293"/>
        <v>7</v>
      </c>
      <c r="E4383" s="49" t="s">
        <v>6</v>
      </c>
      <c r="F4383" s="49">
        <f t="shared" si="294"/>
        <v>2</v>
      </c>
      <c r="G4383" s="49" t="s">
        <v>664</v>
      </c>
      <c r="H4383" s="50">
        <f t="shared" si="296"/>
        <v>65</v>
      </c>
      <c r="I4383" s="50">
        <f>G4369</f>
        <v>1005</v>
      </c>
      <c r="J4383" s="49"/>
      <c r="K4383" s="49"/>
      <c r="L4383" s="49"/>
      <c r="M4383" s="49"/>
      <c r="N4383" s="49"/>
      <c r="O4383" s="49"/>
      <c r="P4383" s="49"/>
      <c r="Q4383" s="49"/>
      <c r="R4383" s="49"/>
      <c r="S4383" s="49"/>
      <c r="T4383" s="49"/>
      <c r="U4383" s="49"/>
      <c r="V4383" s="49"/>
    </row>
    <row r="4384" spans="1:22">
      <c r="A4384" s="49"/>
      <c r="B4384" s="49"/>
      <c r="C4384" s="49"/>
      <c r="D4384" s="49">
        <f t="shared" si="293"/>
        <v>7</v>
      </c>
      <c r="E4384" s="49" t="s">
        <v>6</v>
      </c>
      <c r="F4384" s="49">
        <f t="shared" si="294"/>
        <v>2</v>
      </c>
      <c r="G4384" s="49" t="s">
        <v>665</v>
      </c>
      <c r="H4384" s="50">
        <f t="shared" si="296"/>
        <v>15</v>
      </c>
      <c r="I4384" s="50">
        <f>G4370</f>
        <v>1095</v>
      </c>
      <c r="J4384" s="49"/>
      <c r="K4384" s="49"/>
      <c r="L4384" s="49"/>
      <c r="M4384" s="49"/>
      <c r="N4384" s="49"/>
      <c r="O4384" s="49"/>
      <c r="P4384" s="49"/>
      <c r="Q4384" s="49"/>
      <c r="R4384" s="49"/>
      <c r="S4384" s="49"/>
      <c r="T4384" s="49"/>
      <c r="U4384" s="49"/>
      <c r="V4384" s="49"/>
    </row>
    <row r="4385" spans="1:22">
      <c r="A4385" s="49"/>
      <c r="B4385" s="49"/>
      <c r="C4385" s="49"/>
      <c r="D4385" s="49">
        <f t="shared" si="293"/>
        <v>7</v>
      </c>
      <c r="E4385" s="49" t="s">
        <v>6</v>
      </c>
      <c r="F4385" s="49">
        <f t="shared" si="294"/>
        <v>2</v>
      </c>
      <c r="G4385" s="49" t="s">
        <v>666</v>
      </c>
      <c r="H4385" s="50">
        <f t="shared" si="296"/>
        <v>15</v>
      </c>
      <c r="I4385" s="50">
        <f>G4371-15</f>
        <v>1155</v>
      </c>
      <c r="J4385" s="49"/>
      <c r="K4385" s="49"/>
      <c r="L4385" s="49"/>
      <c r="M4385" s="49"/>
      <c r="N4385" s="49"/>
      <c r="O4385" s="49"/>
      <c r="P4385" s="49"/>
      <c r="Q4385" s="49"/>
      <c r="R4385" s="49"/>
      <c r="S4385" s="49"/>
      <c r="T4385" s="49"/>
      <c r="U4385" s="49"/>
      <c r="V4385" s="49"/>
    </row>
    <row r="4386" spans="1:22">
      <c r="A4386" s="49"/>
      <c r="B4386" s="49"/>
      <c r="C4386" s="49"/>
      <c r="D4386" s="49"/>
      <c r="E4386" s="49" t="s">
        <v>515</v>
      </c>
      <c r="F4386" s="52" t="s">
        <v>669</v>
      </c>
      <c r="G4386" s="49">
        <f>I4354+5</f>
        <v>630</v>
      </c>
      <c r="H4386" s="49">
        <f>J4354+25</f>
        <v>275</v>
      </c>
      <c r="I4386" s="49">
        <f>I4355+5</f>
        <v>705</v>
      </c>
      <c r="J4386" s="49">
        <f>I4356+5</f>
        <v>890</v>
      </c>
      <c r="K4386" s="49">
        <f>I4357+5</f>
        <v>1015</v>
      </c>
      <c r="L4386" s="49">
        <f>I4358+5</f>
        <v>1105</v>
      </c>
      <c r="M4386" s="49"/>
      <c r="N4386" s="49"/>
      <c r="O4386" s="49"/>
      <c r="P4386" s="49"/>
      <c r="Q4386" s="49"/>
      <c r="R4386" s="49"/>
      <c r="S4386" s="49"/>
      <c r="T4386" s="49"/>
      <c r="U4386" s="49"/>
      <c r="V4386" s="49"/>
    </row>
    <row r="4387" spans="1:22">
      <c r="A4387" s="49"/>
      <c r="B4387" s="49"/>
      <c r="C4387" s="49"/>
      <c r="D4387" s="49"/>
      <c r="E4387" s="23" t="s">
        <v>515</v>
      </c>
      <c r="F4387" s="3" t="s">
        <v>671</v>
      </c>
      <c r="G4387" s="49">
        <f>G4339</f>
        <v>10</v>
      </c>
      <c r="H4387" s="49">
        <f>H4386</f>
        <v>275</v>
      </c>
      <c r="I4387" s="49">
        <f>I4339+10</f>
        <v>60</v>
      </c>
      <c r="J4387" s="49">
        <f>K4339+80</f>
        <v>180</v>
      </c>
      <c r="K4387" s="49">
        <f>M4339+30</f>
        <v>290</v>
      </c>
      <c r="L4387" s="49">
        <f>O4339+10</f>
        <v>370</v>
      </c>
      <c r="M4387" s="49">
        <f>Q4339+5</f>
        <v>430</v>
      </c>
      <c r="N4387" s="49"/>
      <c r="O4387" s="49"/>
      <c r="P4387" s="49"/>
      <c r="Q4387" s="49"/>
      <c r="R4387" s="49"/>
      <c r="S4387" s="49"/>
      <c r="T4387" s="49"/>
      <c r="U4387" s="49"/>
      <c r="V4387" s="49"/>
    </row>
    <row r="4388" spans="1:22">
      <c r="A4388" s="49"/>
      <c r="B4388" s="49"/>
      <c r="C4388" s="49"/>
      <c r="D4388" s="49"/>
      <c r="E4388" s="23" t="s">
        <v>515</v>
      </c>
      <c r="F4388" s="3" t="s">
        <v>671</v>
      </c>
      <c r="G4388" s="49">
        <f>G4387+575</f>
        <v>585</v>
      </c>
      <c r="H4388" s="49">
        <f>H4387</f>
        <v>275</v>
      </c>
      <c r="I4388" s="49">
        <f>I4387+595</f>
        <v>655</v>
      </c>
      <c r="J4388" s="49">
        <f>J4387+625</f>
        <v>805</v>
      </c>
      <c r="K4388" s="49">
        <f>K4387+650</f>
        <v>940</v>
      </c>
      <c r="L4388" s="49">
        <f>L4387+675</f>
        <v>1045</v>
      </c>
      <c r="M4388" s="49">
        <f>M4387+700</f>
        <v>1130</v>
      </c>
      <c r="N4388" s="49"/>
      <c r="O4388" s="49"/>
      <c r="P4388" s="49"/>
      <c r="Q4388" s="49"/>
      <c r="R4388" s="49"/>
      <c r="S4388" s="49"/>
      <c r="T4388" s="49"/>
      <c r="U4388" s="49"/>
      <c r="V4388" s="49"/>
    </row>
    <row r="4389" spans="1:22">
      <c r="A4389" s="49"/>
      <c r="B4389" s="49"/>
      <c r="C4389" s="49"/>
      <c r="D4389" s="48">
        <v>4</v>
      </c>
      <c r="E4389" s="48" t="s">
        <v>15</v>
      </c>
      <c r="F4389" s="6">
        <v>4</v>
      </c>
      <c r="G4389" s="49"/>
      <c r="H4389" s="50"/>
      <c r="I4389" s="50"/>
      <c r="J4389" s="49"/>
      <c r="K4389" s="49"/>
      <c r="L4389" s="49"/>
      <c r="M4389" s="49"/>
      <c r="N4389" s="49"/>
      <c r="O4389" s="49"/>
      <c r="P4389" s="49"/>
      <c r="Q4389" s="49"/>
      <c r="R4389" s="49"/>
      <c r="S4389" s="49"/>
      <c r="T4389" s="49"/>
      <c r="U4389" s="49"/>
      <c r="V4389" s="49"/>
    </row>
    <row r="4390" spans="1:22">
      <c r="A4390" s="49"/>
      <c r="B4390" s="49"/>
      <c r="C4390" s="49"/>
      <c r="D4390" s="49">
        <f>ROUNDUP(6+F4390/2,0)</f>
        <v>7</v>
      </c>
      <c r="E4390" s="49" t="s">
        <v>6</v>
      </c>
      <c r="F4390" s="49">
        <f>LEN(G4390)</f>
        <v>1</v>
      </c>
      <c r="G4390" s="51" t="s">
        <v>668</v>
      </c>
      <c r="H4390" s="50">
        <v>90</v>
      </c>
      <c r="I4390" s="50">
        <v>480</v>
      </c>
      <c r="J4390" s="49"/>
      <c r="K4390" s="49"/>
      <c r="L4390" s="49"/>
      <c r="M4390" s="49"/>
      <c r="N4390" s="49"/>
      <c r="O4390" s="49"/>
      <c r="P4390" s="49"/>
      <c r="Q4390" s="49"/>
      <c r="R4390" s="49"/>
      <c r="S4390" s="49"/>
      <c r="T4390" s="49"/>
      <c r="U4390" s="49"/>
      <c r="V4390" s="49"/>
    </row>
    <row r="4394" spans="1:22">
      <c r="A4394" s="48" t="s">
        <v>383</v>
      </c>
      <c r="B4394" s="1" t="s">
        <v>786</v>
      </c>
      <c r="C4394" s="48"/>
      <c r="D4394" s="48" t="s">
        <v>449</v>
      </c>
      <c r="E4394" s="48">
        <v>52695</v>
      </c>
      <c r="F4394" s="6">
        <v>39622</v>
      </c>
      <c r="G4394" s="6">
        <v>0</v>
      </c>
      <c r="H4394" s="6">
        <v>0</v>
      </c>
      <c r="I4394" s="6">
        <v>0</v>
      </c>
      <c r="J4394" s="6">
        <v>1150</v>
      </c>
      <c r="K4394" s="6">
        <v>770</v>
      </c>
      <c r="L4394" s="6">
        <v>192</v>
      </c>
      <c r="M4394" s="6">
        <v>0</v>
      </c>
      <c r="N4394" s="6">
        <v>0</v>
      </c>
      <c r="O4394" s="6" t="e">
        <f ca="1">checksummeint(G4394,H4394,I4394,J4394,K4394,L4394,M4394,N4394)</f>
        <v>#NAME?</v>
      </c>
      <c r="P4394" s="48"/>
      <c r="Q4394" s="48"/>
      <c r="R4394" s="48"/>
      <c r="S4394" s="48"/>
      <c r="T4394" s="48"/>
      <c r="U4394" s="48"/>
      <c r="V4394" s="48"/>
    </row>
    <row r="4395" spans="1:22">
      <c r="A4395" s="1"/>
      <c r="B4395" s="48"/>
      <c r="C4395" s="48">
        <v>0</v>
      </c>
      <c r="D4395" s="48">
        <v>28</v>
      </c>
      <c r="E4395" s="48" t="s">
        <v>12</v>
      </c>
      <c r="F4395" s="6">
        <v>36</v>
      </c>
      <c r="G4395" s="6">
        <v>0</v>
      </c>
      <c r="H4395" s="6">
        <v>0</v>
      </c>
      <c r="I4395" s="6">
        <v>0</v>
      </c>
      <c r="J4395" s="6">
        <v>400</v>
      </c>
      <c r="K4395" s="6">
        <v>0</v>
      </c>
      <c r="L4395" s="6">
        <v>0</v>
      </c>
      <c r="M4395" s="6">
        <v>0</v>
      </c>
      <c r="N4395" s="6">
        <v>0</v>
      </c>
      <c r="O4395" s="6" t="s">
        <v>19</v>
      </c>
      <c r="P4395" s="48"/>
      <c r="Q4395" s="48"/>
      <c r="R4395" s="48"/>
      <c r="S4395" s="48"/>
      <c r="T4395" s="48"/>
      <c r="U4395" s="48"/>
      <c r="V4395" s="48"/>
    </row>
    <row r="4396" spans="1:22">
      <c r="A4396" s="48"/>
      <c r="B4396" s="48"/>
      <c r="C4396" s="48">
        <v>1</v>
      </c>
      <c r="D4396" s="48">
        <v>8</v>
      </c>
      <c r="E4396" s="48" t="s">
        <v>14</v>
      </c>
      <c r="F4396" s="6">
        <v>0</v>
      </c>
      <c r="G4396" s="6">
        <v>2</v>
      </c>
      <c r="H4396" s="6">
        <v>0</v>
      </c>
      <c r="I4396" s="6">
        <v>0</v>
      </c>
      <c r="J4396" s="6">
        <v>0</v>
      </c>
      <c r="M4396" s="44"/>
      <c r="P4396" s="48"/>
      <c r="Q4396" s="48"/>
      <c r="R4396" s="48"/>
      <c r="S4396" s="48"/>
      <c r="T4396" s="48"/>
      <c r="U4396" s="48"/>
      <c r="V4396" s="48"/>
    </row>
    <row r="4397" spans="1:22">
      <c r="A4397" s="48"/>
      <c r="B4397" s="48"/>
      <c r="C4397" s="48">
        <v>2</v>
      </c>
      <c r="D4397" s="48">
        <v>7</v>
      </c>
      <c r="E4397" s="48" t="s">
        <v>11</v>
      </c>
      <c r="F4397" s="6">
        <v>0</v>
      </c>
      <c r="G4397" s="50">
        <v>-64</v>
      </c>
      <c r="H4397" s="50">
        <v>192</v>
      </c>
      <c r="I4397" s="6">
        <v>0</v>
      </c>
      <c r="N4397" s="50"/>
      <c r="P4397" s="48"/>
      <c r="Q4397" s="48"/>
      <c r="R4397" s="48"/>
      <c r="S4397" s="48"/>
      <c r="T4397" s="48"/>
      <c r="U4397" s="48"/>
      <c r="V4397" s="48"/>
    </row>
    <row r="4398" spans="1:22">
      <c r="A4398" s="48"/>
      <c r="B4398" s="48"/>
      <c r="C4398" s="48">
        <v>3</v>
      </c>
      <c r="D4398" s="48">
        <v>28</v>
      </c>
      <c r="E4398" s="48" t="s">
        <v>12</v>
      </c>
      <c r="F4398" s="6">
        <v>144</v>
      </c>
      <c r="G4398" s="6">
        <v>0</v>
      </c>
      <c r="H4398" s="6">
        <v>0</v>
      </c>
      <c r="I4398" s="6">
        <v>0</v>
      </c>
      <c r="J4398" s="6">
        <v>400</v>
      </c>
      <c r="K4398" s="6">
        <v>0</v>
      </c>
      <c r="L4398" s="6">
        <v>0</v>
      </c>
      <c r="M4398" s="6">
        <v>0</v>
      </c>
      <c r="N4398" s="6">
        <v>0</v>
      </c>
      <c r="O4398" s="6" t="s">
        <v>19</v>
      </c>
      <c r="P4398" s="48"/>
      <c r="Q4398" s="48"/>
      <c r="R4398" s="48"/>
      <c r="S4398" s="48"/>
      <c r="T4398" s="48"/>
      <c r="U4398" s="48"/>
      <c r="V4398" s="48"/>
    </row>
    <row r="4399" spans="1:22">
      <c r="A4399" s="48"/>
      <c r="B4399" s="48"/>
      <c r="C4399" s="48">
        <v>4</v>
      </c>
      <c r="D4399" s="48">
        <v>7</v>
      </c>
      <c r="E4399" s="48" t="s">
        <v>11</v>
      </c>
      <c r="F4399" s="6">
        <v>0</v>
      </c>
      <c r="G4399" s="50">
        <v>255</v>
      </c>
      <c r="H4399" s="50">
        <v>0</v>
      </c>
      <c r="I4399" s="6">
        <v>0</v>
      </c>
      <c r="P4399" s="48"/>
      <c r="Q4399" s="48"/>
      <c r="R4399" s="48"/>
      <c r="S4399" s="48"/>
      <c r="T4399" s="48"/>
      <c r="U4399" s="48"/>
      <c r="V4399" s="48"/>
    </row>
    <row r="4400" spans="1:22">
      <c r="A4400" s="48"/>
      <c r="B4400" s="48"/>
      <c r="C4400" s="48">
        <v>5</v>
      </c>
      <c r="D4400" s="48">
        <v>7</v>
      </c>
      <c r="E4400" s="48" t="s">
        <v>11</v>
      </c>
      <c r="F4400" s="6">
        <v>0</v>
      </c>
      <c r="G4400" s="50">
        <v>0</v>
      </c>
      <c r="H4400" s="50">
        <v>0</v>
      </c>
      <c r="I4400" s="6">
        <v>0</v>
      </c>
      <c r="P4400" s="48"/>
      <c r="Q4400" s="48"/>
      <c r="R4400" s="48"/>
      <c r="S4400" s="48"/>
      <c r="T4400" s="48"/>
      <c r="U4400" s="48"/>
      <c r="V4400" s="48"/>
    </row>
    <row r="4401" spans="1:22">
      <c r="A4401" s="1"/>
      <c r="B4401" s="1"/>
      <c r="C4401" s="48"/>
      <c r="D4401" s="48">
        <v>5</v>
      </c>
      <c r="E4401" s="48" t="s">
        <v>59</v>
      </c>
      <c r="F4401" s="6">
        <v>1</v>
      </c>
      <c r="G4401" s="6">
        <v>0</v>
      </c>
      <c r="P4401" s="48"/>
      <c r="Q4401" s="48"/>
      <c r="R4401" s="48"/>
      <c r="S4401" s="48"/>
      <c r="T4401" s="48"/>
      <c r="U4401" s="48"/>
      <c r="V4401" s="48"/>
    </row>
    <row r="4402" spans="1:22">
      <c r="A4402" s="1"/>
      <c r="B4402" s="1"/>
      <c r="C4402" s="48"/>
      <c r="D4402" s="48">
        <v>4</v>
      </c>
      <c r="E4402" s="48" t="s">
        <v>15</v>
      </c>
      <c r="F4402" s="6">
        <v>0</v>
      </c>
      <c r="N4402" s="31"/>
      <c r="P4402" s="48"/>
      <c r="Q4402" s="48"/>
      <c r="R4402" s="48"/>
      <c r="S4402" s="48"/>
      <c r="T4402" s="48"/>
      <c r="U4402" s="48"/>
      <c r="V4402" s="48"/>
    </row>
    <row r="4403" spans="1:22">
      <c r="A4403" s="1"/>
      <c r="B4403" s="1"/>
      <c r="C4403" s="48"/>
      <c r="D4403" s="48">
        <v>4</v>
      </c>
      <c r="E4403" s="48" t="s">
        <v>15</v>
      </c>
      <c r="F4403" s="6">
        <v>1</v>
      </c>
      <c r="G4403" s="50"/>
      <c r="P4403" s="48"/>
      <c r="Q4403" s="48"/>
      <c r="R4403" s="48"/>
      <c r="S4403" s="48"/>
      <c r="T4403" s="48"/>
      <c r="U4403" s="48"/>
      <c r="V4403" s="48"/>
    </row>
    <row r="4404" spans="1:22">
      <c r="A4404" s="48"/>
      <c r="B4404" s="48"/>
      <c r="C4404" s="48"/>
      <c r="D4404" s="48">
        <v>4</v>
      </c>
      <c r="E4404" s="48" t="s">
        <v>15</v>
      </c>
      <c r="F4404" s="6">
        <v>2</v>
      </c>
      <c r="I4404" s="6">
        <f>(I4406-G4406)*0.5*(2*H4406-H4406-J4406)</f>
        <v>500</v>
      </c>
      <c r="K4404" s="6">
        <f>(K4406-I4406)*0.5*(2*H4406-J4406-L4406)</f>
        <v>1500</v>
      </c>
      <c r="M4404" s="6">
        <f>(M4406-K4406)*0.5*(2*H4406-L4406-N4406)</f>
        <v>13125</v>
      </c>
      <c r="O4404" s="6">
        <f>(O4406-M4406)*0.5*(2*H4406-N4406-P4406)</f>
        <v>7500</v>
      </c>
      <c r="P4404" s="48"/>
      <c r="Q4404" s="6">
        <f>(Q4406-O4406)*0.5*(2*H4406-P4406-R4406)</f>
        <v>5500</v>
      </c>
      <c r="R4404" s="48"/>
      <c r="S4404" s="6">
        <f>(S4406-Q4406)*0.5*(2*H4406-R4406-T4406)</f>
        <v>4500</v>
      </c>
      <c r="T4404" s="48"/>
      <c r="U4404" s="48"/>
      <c r="V4404" s="48"/>
    </row>
    <row r="4405" spans="1:22">
      <c r="A4405" s="48"/>
      <c r="B4405" s="48"/>
      <c r="C4405" s="48"/>
      <c r="D4405" s="49"/>
      <c r="E4405" s="49" t="s">
        <v>517</v>
      </c>
      <c r="F4405" s="49" t="s">
        <v>673</v>
      </c>
      <c r="G4405" s="50">
        <v>0</v>
      </c>
      <c r="H4405" s="50">
        <v>1</v>
      </c>
      <c r="I4405" s="49">
        <f>G4405+C4408</f>
        <v>256</v>
      </c>
      <c r="J4405" s="49">
        <f>I4405+C4410</f>
        <v>512</v>
      </c>
      <c r="K4405" s="50"/>
      <c r="L4405" s="50"/>
      <c r="M4405" s="50"/>
      <c r="N4405" s="50"/>
      <c r="O4405" s="50"/>
      <c r="P4405" s="49"/>
      <c r="Q4405" s="49"/>
      <c r="R4405" s="49"/>
      <c r="S4405" s="49"/>
      <c r="T4405" s="49"/>
      <c r="U4405" s="49"/>
      <c r="V4405" s="48"/>
    </row>
    <row r="4406" spans="1:22">
      <c r="A4406" s="48"/>
      <c r="B4406" s="48"/>
      <c r="C4406" s="48"/>
      <c r="D4406" s="49">
        <f t="shared" ref="D4406:D4418" si="297">F4406*2+4</f>
        <v>20</v>
      </c>
      <c r="E4406" s="49" t="s">
        <v>4</v>
      </c>
      <c r="F4406" s="49">
        <v>8</v>
      </c>
      <c r="G4406" s="49">
        <v>10</v>
      </c>
      <c r="H4406" s="50">
        <v>186</v>
      </c>
      <c r="I4406" s="50">
        <f>G4406+20</f>
        <v>30</v>
      </c>
      <c r="J4406" s="49">
        <f>H4406-50</f>
        <v>136</v>
      </c>
      <c r="K4406" s="50">
        <f>I4406+30</f>
        <v>60</v>
      </c>
      <c r="L4406" s="50">
        <f>J4406</f>
        <v>136</v>
      </c>
      <c r="M4406" s="6">
        <f>K4406+150</f>
        <v>210</v>
      </c>
      <c r="N4406" s="6">
        <f>L4406-75</f>
        <v>61</v>
      </c>
      <c r="O4406" s="6">
        <f>M4406+60</f>
        <v>270</v>
      </c>
      <c r="P4406" s="48">
        <f>N4406</f>
        <v>61</v>
      </c>
      <c r="Q4406" s="48">
        <f>O4406+40</f>
        <v>310</v>
      </c>
      <c r="R4406" s="48">
        <f>P4406-25</f>
        <v>36</v>
      </c>
      <c r="S4406" s="48">
        <f>Q4406+30</f>
        <v>340</v>
      </c>
      <c r="T4406" s="48">
        <f>R4406</f>
        <v>36</v>
      </c>
      <c r="U4406" s="48">
        <f>S4406</f>
        <v>340</v>
      </c>
      <c r="V4406" s="48">
        <f>H4406</f>
        <v>186</v>
      </c>
    </row>
    <row r="4407" spans="1:22">
      <c r="A4407" s="48"/>
      <c r="B4407" s="48">
        <v>600</v>
      </c>
      <c r="C4407" s="48">
        <v>0</v>
      </c>
      <c r="D4407" s="49">
        <f t="shared" si="297"/>
        <v>20</v>
      </c>
      <c r="E4407" s="49" t="s">
        <v>4</v>
      </c>
      <c r="F4407" s="49">
        <v>8</v>
      </c>
      <c r="G4407" s="48">
        <f t="shared" ref="G4407:H4411" si="298">G4406+B4407</f>
        <v>610</v>
      </c>
      <c r="H4407" s="48">
        <f t="shared" si="298"/>
        <v>186</v>
      </c>
      <c r="I4407" s="48">
        <f t="shared" ref="I4407:J4411" si="299">I4406+B4407</f>
        <v>630</v>
      </c>
      <c r="J4407" s="48">
        <f t="shared" si="299"/>
        <v>136</v>
      </c>
      <c r="K4407" s="48">
        <f t="shared" ref="K4407:L4411" si="300">K4406+B4407</f>
        <v>660</v>
      </c>
      <c r="L4407" s="48">
        <f t="shared" si="300"/>
        <v>136</v>
      </c>
      <c r="M4407" s="48">
        <f t="shared" ref="M4407:N4411" si="301">M4406+B4407</f>
        <v>810</v>
      </c>
      <c r="N4407" s="48">
        <f t="shared" si="301"/>
        <v>61</v>
      </c>
      <c r="O4407" s="48">
        <f t="shared" ref="O4407:P4411" si="302">O4406+B4407</f>
        <v>870</v>
      </c>
      <c r="P4407" s="48">
        <f t="shared" si="302"/>
        <v>61</v>
      </c>
      <c r="Q4407" s="48">
        <f t="shared" ref="Q4407:R4411" si="303">Q4406+B4407</f>
        <v>910</v>
      </c>
      <c r="R4407" s="48">
        <f t="shared" si="303"/>
        <v>36</v>
      </c>
      <c r="S4407" s="48">
        <f t="shared" ref="S4407:T4411" si="304">S4406+B4407</f>
        <v>940</v>
      </c>
      <c r="T4407" s="48">
        <f t="shared" si="304"/>
        <v>36</v>
      </c>
      <c r="U4407" s="48">
        <f t="shared" ref="U4407:V4411" si="305">U4406+B4407</f>
        <v>940</v>
      </c>
      <c r="V4407" s="48">
        <f t="shared" si="305"/>
        <v>186</v>
      </c>
    </row>
    <row r="4408" spans="1:22">
      <c r="A4408" s="48"/>
      <c r="B4408" s="48">
        <v>-600</v>
      </c>
      <c r="C4408" s="48">
        <v>256</v>
      </c>
      <c r="D4408" s="49">
        <f t="shared" si="297"/>
        <v>20</v>
      </c>
      <c r="E4408" s="49" t="s">
        <v>4</v>
      </c>
      <c r="F4408" s="49">
        <v>8</v>
      </c>
      <c r="G4408" s="48">
        <f t="shared" si="298"/>
        <v>10</v>
      </c>
      <c r="H4408" s="48">
        <f t="shared" si="298"/>
        <v>442</v>
      </c>
      <c r="I4408" s="48">
        <f t="shared" si="299"/>
        <v>30</v>
      </c>
      <c r="J4408" s="48">
        <f t="shared" si="299"/>
        <v>392</v>
      </c>
      <c r="K4408" s="48">
        <f t="shared" si="300"/>
        <v>60</v>
      </c>
      <c r="L4408" s="48">
        <f t="shared" si="300"/>
        <v>392</v>
      </c>
      <c r="M4408" s="48">
        <f t="shared" si="301"/>
        <v>210</v>
      </c>
      <c r="N4408" s="48">
        <f t="shared" si="301"/>
        <v>317</v>
      </c>
      <c r="O4408" s="48">
        <f t="shared" si="302"/>
        <v>270</v>
      </c>
      <c r="P4408" s="48">
        <f t="shared" si="302"/>
        <v>317</v>
      </c>
      <c r="Q4408" s="48">
        <f t="shared" si="303"/>
        <v>310</v>
      </c>
      <c r="R4408" s="48">
        <f t="shared" si="303"/>
        <v>292</v>
      </c>
      <c r="S4408" s="48">
        <f t="shared" si="304"/>
        <v>340</v>
      </c>
      <c r="T4408" s="48">
        <f t="shared" si="304"/>
        <v>292</v>
      </c>
      <c r="U4408" s="48">
        <f t="shared" si="305"/>
        <v>340</v>
      </c>
      <c r="V4408" s="48">
        <f t="shared" si="305"/>
        <v>442</v>
      </c>
    </row>
    <row r="4409" spans="1:22">
      <c r="A4409" s="48"/>
      <c r="B4409" s="48">
        <v>600</v>
      </c>
      <c r="C4409" s="48">
        <v>0</v>
      </c>
      <c r="D4409" s="49">
        <f t="shared" si="297"/>
        <v>20</v>
      </c>
      <c r="E4409" s="49" t="s">
        <v>4</v>
      </c>
      <c r="F4409" s="49">
        <v>8</v>
      </c>
      <c r="G4409" s="48">
        <f t="shared" si="298"/>
        <v>610</v>
      </c>
      <c r="H4409" s="48">
        <f t="shared" si="298"/>
        <v>442</v>
      </c>
      <c r="I4409" s="48">
        <f t="shared" si="299"/>
        <v>630</v>
      </c>
      <c r="J4409" s="48">
        <f t="shared" si="299"/>
        <v>392</v>
      </c>
      <c r="K4409" s="48">
        <f t="shared" si="300"/>
        <v>660</v>
      </c>
      <c r="L4409" s="48">
        <f t="shared" si="300"/>
        <v>392</v>
      </c>
      <c r="M4409" s="48">
        <f t="shared" si="301"/>
        <v>810</v>
      </c>
      <c r="N4409" s="48">
        <f t="shared" si="301"/>
        <v>317</v>
      </c>
      <c r="O4409" s="48">
        <f t="shared" si="302"/>
        <v>870</v>
      </c>
      <c r="P4409" s="48">
        <f t="shared" si="302"/>
        <v>317</v>
      </c>
      <c r="Q4409" s="48">
        <f t="shared" si="303"/>
        <v>910</v>
      </c>
      <c r="R4409" s="48">
        <f t="shared" si="303"/>
        <v>292</v>
      </c>
      <c r="S4409" s="48">
        <f t="shared" si="304"/>
        <v>940</v>
      </c>
      <c r="T4409" s="48">
        <f t="shared" si="304"/>
        <v>292</v>
      </c>
      <c r="U4409" s="48">
        <f t="shared" si="305"/>
        <v>940</v>
      </c>
      <c r="V4409" s="48">
        <f t="shared" si="305"/>
        <v>442</v>
      </c>
    </row>
    <row r="4410" spans="1:22">
      <c r="A4410" s="48"/>
      <c r="B4410" s="48">
        <v>-600</v>
      </c>
      <c r="C4410" s="48">
        <f>C4408</f>
        <v>256</v>
      </c>
      <c r="D4410" s="49">
        <f t="shared" si="297"/>
        <v>20</v>
      </c>
      <c r="E4410" s="49" t="s">
        <v>4</v>
      </c>
      <c r="F4410" s="49">
        <v>8</v>
      </c>
      <c r="G4410" s="48">
        <f t="shared" si="298"/>
        <v>10</v>
      </c>
      <c r="H4410" s="48">
        <f t="shared" si="298"/>
        <v>698</v>
      </c>
      <c r="I4410" s="48">
        <f t="shared" si="299"/>
        <v>30</v>
      </c>
      <c r="J4410" s="48">
        <f t="shared" si="299"/>
        <v>648</v>
      </c>
      <c r="K4410" s="4">
        <f t="shared" si="300"/>
        <v>60</v>
      </c>
      <c r="L4410" s="4">
        <f t="shared" si="300"/>
        <v>648</v>
      </c>
      <c r="M4410" s="4">
        <f t="shared" si="301"/>
        <v>210</v>
      </c>
      <c r="N4410" s="4">
        <f t="shared" si="301"/>
        <v>573</v>
      </c>
      <c r="O4410" s="48">
        <f t="shared" si="302"/>
        <v>270</v>
      </c>
      <c r="P4410" s="48">
        <f t="shared" si="302"/>
        <v>573</v>
      </c>
      <c r="Q4410" s="48">
        <f t="shared" si="303"/>
        <v>310</v>
      </c>
      <c r="R4410" s="48">
        <f t="shared" si="303"/>
        <v>548</v>
      </c>
      <c r="S4410" s="48">
        <f t="shared" si="304"/>
        <v>340</v>
      </c>
      <c r="T4410" s="48">
        <f t="shared" si="304"/>
        <v>548</v>
      </c>
      <c r="U4410" s="48">
        <f t="shared" si="305"/>
        <v>340</v>
      </c>
      <c r="V4410" s="48">
        <f t="shared" si="305"/>
        <v>698</v>
      </c>
    </row>
    <row r="4411" spans="1:22">
      <c r="A4411" s="48"/>
      <c r="B4411" s="48">
        <v>600</v>
      </c>
      <c r="C4411" s="48">
        <v>0</v>
      </c>
      <c r="D4411" s="49">
        <f t="shared" si="297"/>
        <v>20</v>
      </c>
      <c r="E4411" s="49" t="s">
        <v>4</v>
      </c>
      <c r="F4411" s="49">
        <v>8</v>
      </c>
      <c r="G4411" s="48">
        <f t="shared" si="298"/>
        <v>610</v>
      </c>
      <c r="H4411" s="48">
        <f t="shared" si="298"/>
        <v>698</v>
      </c>
      <c r="I4411" s="48">
        <f t="shared" si="299"/>
        <v>630</v>
      </c>
      <c r="J4411" s="48">
        <f t="shared" si="299"/>
        <v>648</v>
      </c>
      <c r="K4411" s="48">
        <f t="shared" si="300"/>
        <v>660</v>
      </c>
      <c r="L4411" s="48">
        <f t="shared" si="300"/>
        <v>648</v>
      </c>
      <c r="M4411" s="48">
        <f t="shared" si="301"/>
        <v>810</v>
      </c>
      <c r="N4411" s="48">
        <f t="shared" si="301"/>
        <v>573</v>
      </c>
      <c r="O4411" s="48">
        <f t="shared" si="302"/>
        <v>870</v>
      </c>
      <c r="P4411" s="48">
        <f t="shared" si="302"/>
        <v>573</v>
      </c>
      <c r="Q4411" s="48">
        <f t="shared" si="303"/>
        <v>910</v>
      </c>
      <c r="R4411" s="48">
        <f t="shared" si="303"/>
        <v>548</v>
      </c>
      <c r="S4411" s="48">
        <f t="shared" si="304"/>
        <v>940</v>
      </c>
      <c r="T4411" s="48">
        <f t="shared" si="304"/>
        <v>548</v>
      </c>
      <c r="U4411" s="48">
        <f t="shared" si="305"/>
        <v>940</v>
      </c>
      <c r="V4411" s="48">
        <f t="shared" si="305"/>
        <v>698</v>
      </c>
    </row>
    <row r="4412" spans="1:22">
      <c r="A4412" s="48"/>
      <c r="B4412" s="48"/>
      <c r="C4412" s="48"/>
      <c r="D4412" s="49">
        <f t="shared" si="297"/>
        <v>8</v>
      </c>
      <c r="E4412" s="49" t="s">
        <v>1</v>
      </c>
      <c r="F4412" s="49">
        <v>2</v>
      </c>
      <c r="G4412" s="49">
        <f>I4406</f>
        <v>30</v>
      </c>
      <c r="H4412" s="50">
        <f>J4406</f>
        <v>136</v>
      </c>
      <c r="I4412" s="50">
        <f t="shared" ref="I4412:I4418" si="306">G4412</f>
        <v>30</v>
      </c>
      <c r="J4412" s="49">
        <f>H4406</f>
        <v>186</v>
      </c>
      <c r="K4412" s="49"/>
      <c r="L4412" s="49"/>
      <c r="M4412" s="49"/>
      <c r="N4412" s="49"/>
      <c r="O4412" s="49"/>
      <c r="P4412" s="49"/>
      <c r="Q4412" s="48"/>
      <c r="R4412" s="48"/>
      <c r="S4412" s="48"/>
      <c r="T4412" s="48"/>
      <c r="U4412" s="48"/>
      <c r="V4412" s="48"/>
    </row>
    <row r="4413" spans="1:22">
      <c r="A4413" s="48"/>
      <c r="B4413" s="48"/>
      <c r="C4413" s="48"/>
      <c r="D4413" s="49">
        <f t="shared" si="297"/>
        <v>8</v>
      </c>
      <c r="E4413" s="49" t="s">
        <v>1</v>
      </c>
      <c r="F4413" s="49">
        <v>2</v>
      </c>
      <c r="G4413" s="50">
        <f>K4406</f>
        <v>60</v>
      </c>
      <c r="H4413" s="50">
        <f>L4406</f>
        <v>136</v>
      </c>
      <c r="I4413" s="50">
        <f t="shared" si="306"/>
        <v>60</v>
      </c>
      <c r="J4413" s="49">
        <f>J4412</f>
        <v>186</v>
      </c>
      <c r="K4413" s="48"/>
      <c r="L4413" s="48"/>
      <c r="M4413" s="48"/>
      <c r="N4413" s="48"/>
      <c r="O4413" s="48"/>
      <c r="P4413" s="48"/>
      <c r="Q4413" s="48"/>
      <c r="R4413" s="48"/>
      <c r="S4413" s="48"/>
      <c r="T4413" s="48"/>
      <c r="U4413" s="48"/>
      <c r="V4413" s="48"/>
    </row>
    <row r="4414" spans="1:22">
      <c r="A4414" s="48"/>
      <c r="B4414" s="48"/>
      <c r="C4414" s="48"/>
      <c r="D4414" s="49">
        <f t="shared" si="297"/>
        <v>8</v>
      </c>
      <c r="E4414" s="49" t="s">
        <v>1</v>
      </c>
      <c r="F4414" s="49">
        <v>2</v>
      </c>
      <c r="G4414" s="50">
        <f>M4406</f>
        <v>210</v>
      </c>
      <c r="H4414" s="50">
        <f>N4406</f>
        <v>61</v>
      </c>
      <c r="I4414" s="50">
        <f t="shared" si="306"/>
        <v>210</v>
      </c>
      <c r="J4414" s="49">
        <f>J4413</f>
        <v>186</v>
      </c>
      <c r="K4414" s="48"/>
      <c r="L4414" s="48"/>
      <c r="M4414" s="48"/>
      <c r="N4414" s="48"/>
      <c r="O4414" s="48"/>
      <c r="P4414" s="48"/>
      <c r="Q4414" s="48"/>
      <c r="R4414" s="48"/>
      <c r="S4414" s="48"/>
      <c r="T4414" s="48"/>
      <c r="U4414" s="48"/>
      <c r="V4414" s="48"/>
    </row>
    <row r="4415" spans="1:22">
      <c r="A4415" s="48"/>
      <c r="B4415" s="48"/>
      <c r="C4415" s="48"/>
      <c r="D4415" s="49">
        <f t="shared" si="297"/>
        <v>8</v>
      </c>
      <c r="E4415" s="49" t="s">
        <v>1</v>
      </c>
      <c r="F4415" s="49">
        <v>2</v>
      </c>
      <c r="G4415" s="50">
        <f>O4406</f>
        <v>270</v>
      </c>
      <c r="H4415" s="50">
        <f>P4406</f>
        <v>61</v>
      </c>
      <c r="I4415" s="50">
        <f t="shared" si="306"/>
        <v>270</v>
      </c>
      <c r="J4415" s="49">
        <f>J4414</f>
        <v>186</v>
      </c>
      <c r="K4415" s="48"/>
      <c r="L4415" s="48"/>
      <c r="M4415" s="49"/>
      <c r="N4415" s="49"/>
      <c r="O4415" s="48"/>
      <c r="P4415" s="48"/>
      <c r="Q4415" s="48"/>
      <c r="R4415" s="48"/>
      <c r="S4415" s="48"/>
      <c r="T4415" s="48"/>
      <c r="U4415" s="48"/>
      <c r="V4415" s="48"/>
    </row>
    <row r="4416" spans="1:22">
      <c r="A4416" s="48"/>
      <c r="B4416" s="48"/>
      <c r="C4416" s="48"/>
      <c r="D4416" s="49">
        <f t="shared" si="297"/>
        <v>8</v>
      </c>
      <c r="E4416" s="49" t="s">
        <v>1</v>
      </c>
      <c r="F4416" s="49">
        <v>2</v>
      </c>
      <c r="G4416" s="50">
        <f>Q4406</f>
        <v>310</v>
      </c>
      <c r="H4416" s="50">
        <f>R4406</f>
        <v>36</v>
      </c>
      <c r="I4416" s="50">
        <f t="shared" si="306"/>
        <v>310</v>
      </c>
      <c r="J4416" s="49">
        <f>J4415</f>
        <v>186</v>
      </c>
      <c r="K4416" s="48"/>
      <c r="L4416" s="48"/>
      <c r="M4416" s="48"/>
      <c r="N4416" s="48"/>
      <c r="O4416" s="48"/>
      <c r="P4416" s="48"/>
      <c r="Q4416" s="48"/>
      <c r="R4416" s="48"/>
      <c r="S4416" s="48"/>
      <c r="T4416" s="48"/>
      <c r="U4416" s="48"/>
      <c r="V4416" s="48"/>
    </row>
    <row r="4417" spans="1:22">
      <c r="A4417" s="48"/>
      <c r="B4417" s="48"/>
      <c r="C4417" s="48"/>
      <c r="D4417" s="49">
        <f t="shared" si="297"/>
        <v>8</v>
      </c>
      <c r="E4417" s="49" t="s">
        <v>1</v>
      </c>
      <c r="F4417" s="49">
        <v>2</v>
      </c>
      <c r="G4417" s="49">
        <f>K4410</f>
        <v>60</v>
      </c>
      <c r="H4417" s="49">
        <f>L4410</f>
        <v>648</v>
      </c>
      <c r="I4417" s="50">
        <f t="shared" si="306"/>
        <v>60</v>
      </c>
      <c r="J4417" s="49">
        <f>H4410</f>
        <v>698</v>
      </c>
      <c r="K4417" s="48"/>
      <c r="L4417" s="48"/>
      <c r="M4417" s="48"/>
      <c r="N4417" s="48"/>
      <c r="O4417" s="48"/>
      <c r="P4417" s="48"/>
      <c r="Q4417" s="48"/>
      <c r="R4417" s="48"/>
      <c r="S4417" s="48"/>
      <c r="T4417" s="48"/>
      <c r="U4417" s="48"/>
      <c r="V4417" s="48"/>
    </row>
    <row r="4418" spans="1:22">
      <c r="A4418" s="48"/>
      <c r="B4418" s="48"/>
      <c r="C4418" s="48"/>
      <c r="D4418" s="49">
        <f t="shared" si="297"/>
        <v>8</v>
      </c>
      <c r="E4418" s="49" t="s">
        <v>1</v>
      </c>
      <c r="F4418" s="49">
        <v>2</v>
      </c>
      <c r="G4418" s="49">
        <f>K4411</f>
        <v>660</v>
      </c>
      <c r="H4418" s="49">
        <f>L4411</f>
        <v>648</v>
      </c>
      <c r="I4418" s="50">
        <f t="shared" si="306"/>
        <v>660</v>
      </c>
      <c r="J4418" s="49">
        <f>H4411</f>
        <v>698</v>
      </c>
      <c r="K4418" s="48"/>
      <c r="L4418" s="48"/>
      <c r="M4418" s="48"/>
      <c r="N4418" s="48"/>
      <c r="O4418" s="48"/>
      <c r="P4418" s="48"/>
      <c r="Q4418" s="48"/>
      <c r="R4418" s="48"/>
      <c r="S4418" s="48"/>
      <c r="T4418" s="48"/>
      <c r="U4418" s="48"/>
      <c r="V4418" s="48"/>
    </row>
    <row r="4419" spans="1:22">
      <c r="A4419" s="48"/>
      <c r="B4419" s="48"/>
      <c r="C4419" s="48"/>
      <c r="D4419" s="49">
        <v>7</v>
      </c>
      <c r="E4419" s="23" t="s">
        <v>0</v>
      </c>
      <c r="F4419" s="49">
        <f>L4410-5</f>
        <v>643</v>
      </c>
      <c r="G4419" s="50">
        <f>K4410-5</f>
        <v>55</v>
      </c>
      <c r="H4419" s="49">
        <f>F4419+10</f>
        <v>653</v>
      </c>
      <c r="I4419" s="49">
        <f>G4419+10</f>
        <v>65</v>
      </c>
      <c r="J4419" s="49"/>
      <c r="K4419" s="48"/>
      <c r="L4419" s="48"/>
      <c r="M4419" s="48"/>
      <c r="N4419" s="48"/>
      <c r="O4419" s="48"/>
      <c r="P4419" s="48"/>
      <c r="Q4419" s="48"/>
      <c r="R4419" s="48"/>
      <c r="S4419" s="48"/>
      <c r="T4419" s="48"/>
      <c r="U4419" s="48"/>
      <c r="V4419" s="48"/>
    </row>
    <row r="4420" spans="1:22">
      <c r="A4420" s="48"/>
      <c r="B4420" s="48"/>
      <c r="C4420" s="48"/>
      <c r="D4420" s="49">
        <v>7</v>
      </c>
      <c r="E4420" s="23" t="s">
        <v>0</v>
      </c>
      <c r="F4420" s="49">
        <f>N4410-5</f>
        <v>568</v>
      </c>
      <c r="G4420" s="50">
        <f>M4410-5</f>
        <v>205</v>
      </c>
      <c r="H4420" s="49">
        <f>F4420+10</f>
        <v>578</v>
      </c>
      <c r="I4420" s="49">
        <f>G4420+10</f>
        <v>215</v>
      </c>
      <c r="J4420" s="49"/>
      <c r="K4420" s="48"/>
      <c r="L4420" s="48"/>
      <c r="M4420" s="48"/>
      <c r="N4420" s="48"/>
      <c r="O4420" s="48"/>
      <c r="P4420" s="48"/>
      <c r="Q4420" s="48"/>
      <c r="R4420" s="48"/>
      <c r="S4420" s="48"/>
      <c r="T4420" s="48"/>
      <c r="U4420" s="48"/>
      <c r="V4420" s="48"/>
    </row>
    <row r="4421" spans="1:22">
      <c r="A4421" s="48"/>
      <c r="B4421" s="48"/>
      <c r="C4421" s="48"/>
      <c r="D4421" s="49">
        <f>F4421*2+4</f>
        <v>12</v>
      </c>
      <c r="E4421" s="49" t="s">
        <v>4</v>
      </c>
      <c r="F4421" s="49">
        <v>4</v>
      </c>
      <c r="G4421" s="48">
        <f>U4406+50</f>
        <v>390</v>
      </c>
      <c r="H4421" s="48">
        <f>V4406+25</f>
        <v>211</v>
      </c>
      <c r="I4421" s="48">
        <f>G4421+60</f>
        <v>450</v>
      </c>
      <c r="J4421" s="50">
        <f>H4421-200</f>
        <v>11</v>
      </c>
      <c r="K4421" s="49">
        <f>G4421+150</f>
        <v>540</v>
      </c>
      <c r="L4421" s="49">
        <f>J4421</f>
        <v>11</v>
      </c>
      <c r="M4421" s="49">
        <f>K4421</f>
        <v>540</v>
      </c>
      <c r="N4421" s="49">
        <f>H4421</f>
        <v>211</v>
      </c>
      <c r="O4421" s="49"/>
      <c r="P4421" s="49"/>
      <c r="Q4421" s="49"/>
      <c r="R4421" s="49"/>
      <c r="S4421" s="48"/>
      <c r="T4421" s="48"/>
      <c r="U4421" s="49"/>
      <c r="V4421" s="48"/>
    </row>
    <row r="4422" spans="1:22">
      <c r="A4422" s="49"/>
      <c r="B4422" s="49">
        <f>B4407</f>
        <v>600</v>
      </c>
      <c r="C4422" s="49">
        <v>0</v>
      </c>
      <c r="D4422" s="49">
        <f>F4422*2+4</f>
        <v>12</v>
      </c>
      <c r="E4422" s="49" t="s">
        <v>4</v>
      </c>
      <c r="F4422" s="49">
        <v>4</v>
      </c>
      <c r="G4422" s="48">
        <f t="shared" ref="G4422:H4425" si="307">G4421+B4422</f>
        <v>990</v>
      </c>
      <c r="H4422" s="48">
        <f t="shared" si="307"/>
        <v>211</v>
      </c>
      <c r="I4422" s="48">
        <f t="shared" ref="I4422:J4425" si="308">I4421+B4422</f>
        <v>1050</v>
      </c>
      <c r="J4422" s="48">
        <f t="shared" si="308"/>
        <v>11</v>
      </c>
      <c r="K4422" s="48">
        <f t="shared" ref="K4422:L4425" si="309">K4421+B4422</f>
        <v>1140</v>
      </c>
      <c r="L4422" s="48">
        <f t="shared" si="309"/>
        <v>11</v>
      </c>
      <c r="M4422" s="48">
        <f t="shared" ref="M4422:N4425" si="310">M4421+B4422</f>
        <v>1140</v>
      </c>
      <c r="N4422" s="48">
        <f t="shared" si="310"/>
        <v>211</v>
      </c>
      <c r="O4422" s="49"/>
      <c r="P4422" s="49"/>
      <c r="Q4422" s="49"/>
      <c r="R4422" s="49"/>
      <c r="S4422" s="49"/>
      <c r="T4422" s="49"/>
      <c r="U4422" s="49"/>
      <c r="V4422" s="49"/>
    </row>
    <row r="4423" spans="1:22">
      <c r="A4423" s="49"/>
      <c r="B4423" s="49">
        <f>B4408</f>
        <v>-600</v>
      </c>
      <c r="C4423" s="48">
        <v>256</v>
      </c>
      <c r="D4423" s="49">
        <f>F4423*2+4</f>
        <v>12</v>
      </c>
      <c r="E4423" s="49" t="s">
        <v>4</v>
      </c>
      <c r="F4423" s="49">
        <v>4</v>
      </c>
      <c r="G4423" s="48">
        <f t="shared" si="307"/>
        <v>390</v>
      </c>
      <c r="H4423" s="48">
        <f t="shared" si="307"/>
        <v>467</v>
      </c>
      <c r="I4423" s="48">
        <f t="shared" si="308"/>
        <v>450</v>
      </c>
      <c r="J4423" s="48">
        <f t="shared" si="308"/>
        <v>267</v>
      </c>
      <c r="K4423" s="48">
        <f t="shared" si="309"/>
        <v>540</v>
      </c>
      <c r="L4423" s="48">
        <f t="shared" si="309"/>
        <v>267</v>
      </c>
      <c r="M4423" s="48">
        <f t="shared" si="310"/>
        <v>540</v>
      </c>
      <c r="N4423" s="48">
        <f t="shared" si="310"/>
        <v>467</v>
      </c>
      <c r="O4423" s="49"/>
      <c r="P4423" s="49"/>
      <c r="Q4423" s="49"/>
      <c r="R4423" s="49"/>
      <c r="S4423" s="49"/>
      <c r="T4423" s="49"/>
      <c r="U4423" s="49"/>
      <c r="V4423" s="49"/>
    </row>
    <row r="4424" spans="1:22">
      <c r="A4424" s="49"/>
      <c r="B4424" s="49">
        <f>B4409</f>
        <v>600</v>
      </c>
      <c r="C4424" s="48">
        <v>0</v>
      </c>
      <c r="D4424" s="49">
        <f>F4424*2+4</f>
        <v>12</v>
      </c>
      <c r="E4424" s="49" t="s">
        <v>4</v>
      </c>
      <c r="F4424" s="49">
        <v>4</v>
      </c>
      <c r="G4424" s="48">
        <f t="shared" si="307"/>
        <v>990</v>
      </c>
      <c r="H4424" s="48">
        <f t="shared" si="307"/>
        <v>467</v>
      </c>
      <c r="I4424" s="48">
        <f t="shared" si="308"/>
        <v>1050</v>
      </c>
      <c r="J4424" s="48">
        <f t="shared" si="308"/>
        <v>267</v>
      </c>
      <c r="K4424" s="48">
        <f t="shared" si="309"/>
        <v>1140</v>
      </c>
      <c r="L4424" s="48">
        <f t="shared" si="309"/>
        <v>267</v>
      </c>
      <c r="M4424" s="48">
        <f t="shared" si="310"/>
        <v>1140</v>
      </c>
      <c r="N4424" s="48">
        <f t="shared" si="310"/>
        <v>467</v>
      </c>
      <c r="O4424" s="49"/>
      <c r="P4424" s="49"/>
      <c r="Q4424" s="49"/>
      <c r="R4424" s="49"/>
      <c r="S4424" s="49"/>
      <c r="T4424" s="49"/>
      <c r="U4424" s="49"/>
      <c r="V4424" s="49"/>
    </row>
    <row r="4425" spans="1:22">
      <c r="A4425" s="49"/>
      <c r="B4425" s="49">
        <f>B4410</f>
        <v>-600</v>
      </c>
      <c r="C4425" s="48">
        <f>C4423</f>
        <v>256</v>
      </c>
      <c r="D4425" s="49">
        <f>F4425*2+4</f>
        <v>12</v>
      </c>
      <c r="E4425" s="49" t="s">
        <v>4</v>
      </c>
      <c r="F4425" s="49">
        <v>4</v>
      </c>
      <c r="G4425" s="48">
        <f t="shared" si="307"/>
        <v>390</v>
      </c>
      <c r="H4425" s="48">
        <f t="shared" si="307"/>
        <v>723</v>
      </c>
      <c r="I4425" s="48">
        <f t="shared" si="308"/>
        <v>450</v>
      </c>
      <c r="J4425" s="48">
        <f t="shared" si="308"/>
        <v>523</v>
      </c>
      <c r="K4425" s="48">
        <f t="shared" si="309"/>
        <v>540</v>
      </c>
      <c r="L4425" s="48">
        <f t="shared" si="309"/>
        <v>523</v>
      </c>
      <c r="M4425" s="48">
        <f t="shared" si="310"/>
        <v>540</v>
      </c>
      <c r="N4425" s="48">
        <f t="shared" si="310"/>
        <v>723</v>
      </c>
      <c r="O4425" s="49"/>
      <c r="P4425" s="49"/>
      <c r="Q4425" s="49"/>
      <c r="R4425" s="49"/>
      <c r="S4425" s="49"/>
      <c r="T4425" s="49"/>
      <c r="U4425" s="49"/>
      <c r="V4425" s="49"/>
    </row>
    <row r="4426" spans="1:22">
      <c r="A4426" s="49"/>
      <c r="B4426" s="49"/>
      <c r="C4426" s="48"/>
      <c r="D4426" s="48">
        <v>4</v>
      </c>
      <c r="E4426" s="48" t="s">
        <v>15</v>
      </c>
      <c r="F4426" s="6">
        <v>4</v>
      </c>
      <c r="G4426" s="48"/>
      <c r="H4426" s="48"/>
      <c r="I4426" s="48"/>
      <c r="J4426" s="48"/>
      <c r="K4426" s="48"/>
      <c r="L4426" s="48"/>
      <c r="M4426" s="48"/>
      <c r="N4426" s="48"/>
      <c r="O4426" s="49"/>
      <c r="P4426" s="49"/>
      <c r="Q4426" s="49"/>
      <c r="R4426" s="49"/>
      <c r="S4426" s="49"/>
      <c r="T4426" s="49"/>
      <c r="U4426" s="49"/>
      <c r="V4426" s="49"/>
    </row>
    <row r="4427" spans="1:22">
      <c r="A4427" s="49"/>
      <c r="B4427" s="49">
        <f>B4411</f>
        <v>600</v>
      </c>
      <c r="C4427" s="48">
        <v>0</v>
      </c>
      <c r="D4427" s="49">
        <f>F4427*2+4</f>
        <v>12</v>
      </c>
      <c r="E4427" s="49" t="s">
        <v>4</v>
      </c>
      <c r="F4427" s="49">
        <v>4</v>
      </c>
      <c r="G4427" s="48">
        <f>G4425+B4427</f>
        <v>990</v>
      </c>
      <c r="H4427" s="48">
        <f>H4425+C4427</f>
        <v>723</v>
      </c>
      <c r="I4427" s="48">
        <f>I4425+B4427</f>
        <v>1050</v>
      </c>
      <c r="J4427" s="48">
        <f>J4425+C4427</f>
        <v>523</v>
      </c>
      <c r="K4427" s="48">
        <f>K4425+B4427</f>
        <v>1140</v>
      </c>
      <c r="L4427" s="48">
        <f>L4425+C4427</f>
        <v>523</v>
      </c>
      <c r="M4427" s="48">
        <f>M4425+B4427</f>
        <v>1140</v>
      </c>
      <c r="N4427" s="48">
        <f>N4425+C4427</f>
        <v>723</v>
      </c>
      <c r="O4427" s="49"/>
      <c r="P4427" s="49"/>
      <c r="Q4427" s="49"/>
      <c r="R4427" s="49"/>
      <c r="S4427" s="49"/>
      <c r="T4427" s="49"/>
      <c r="U4427" s="49"/>
      <c r="V4427" s="49"/>
    </row>
    <row r="4428" spans="1:22">
      <c r="A4428" s="49"/>
      <c r="B4428" s="49"/>
      <c r="C4428" s="49"/>
      <c r="D4428" s="48">
        <v>4</v>
      </c>
      <c r="E4428" s="48" t="s">
        <v>15</v>
      </c>
      <c r="F4428" s="6">
        <v>3</v>
      </c>
      <c r="G4428" s="49"/>
      <c r="H4428" s="49"/>
      <c r="I4428" s="49"/>
      <c r="J4428" s="49"/>
      <c r="K4428" s="49"/>
      <c r="L4428" s="49"/>
      <c r="M4428" s="49"/>
      <c r="N4428" s="49"/>
      <c r="O4428" s="49"/>
      <c r="P4428" s="49"/>
      <c r="Q4428" s="49"/>
      <c r="R4428" s="49"/>
      <c r="S4428" s="49"/>
      <c r="T4428" s="49"/>
      <c r="U4428" s="49"/>
      <c r="V4428" s="49"/>
    </row>
    <row r="4429" spans="1:22">
      <c r="A4429" s="49"/>
      <c r="B4429" s="49"/>
      <c r="C4429" s="49"/>
      <c r="D4429" s="49"/>
      <c r="E4429" s="49" t="s">
        <v>515</v>
      </c>
      <c r="F4429" s="53" t="s">
        <v>672</v>
      </c>
      <c r="G4429" s="49">
        <v>350</v>
      </c>
      <c r="H4429" s="49">
        <v>50</v>
      </c>
      <c r="I4429" s="49">
        <v>550</v>
      </c>
      <c r="J4429" s="49">
        <f>G4429+600</f>
        <v>950</v>
      </c>
      <c r="K4429" s="49"/>
      <c r="L4429" s="49"/>
      <c r="M4429" s="49"/>
      <c r="N4429" s="49"/>
      <c r="O4429" s="49"/>
      <c r="P4429" s="49"/>
      <c r="Q4429" s="49"/>
      <c r="R4429" s="49"/>
      <c r="S4429" s="49"/>
      <c r="T4429" s="49"/>
      <c r="U4429" s="49"/>
      <c r="V4429" s="49"/>
    </row>
    <row r="4430" spans="1:22">
      <c r="A4430" s="49"/>
      <c r="B4430" s="49"/>
      <c r="C4430" s="49"/>
      <c r="D4430" s="49"/>
      <c r="E4430" s="49" t="s">
        <v>515</v>
      </c>
      <c r="F4430" s="53" t="s">
        <v>672</v>
      </c>
      <c r="G4430" s="48">
        <f>G4429</f>
        <v>350</v>
      </c>
      <c r="H4430" s="48">
        <f>H4429+C4408</f>
        <v>306</v>
      </c>
      <c r="I4430" s="48">
        <f>I4429</f>
        <v>550</v>
      </c>
      <c r="J4430" s="49">
        <f>G4430+600</f>
        <v>950</v>
      </c>
      <c r="K4430" s="49"/>
      <c r="L4430" s="49"/>
      <c r="M4430" s="49"/>
      <c r="N4430" s="49"/>
      <c r="O4430" s="49"/>
      <c r="P4430" s="49"/>
      <c r="Q4430" s="49"/>
      <c r="R4430" s="49"/>
      <c r="S4430" s="49"/>
      <c r="T4430" s="49"/>
      <c r="U4430" s="49"/>
      <c r="V4430" s="49"/>
    </row>
    <row r="4431" spans="1:22">
      <c r="A4431" s="49"/>
      <c r="B4431" s="49"/>
      <c r="C4431" s="49"/>
      <c r="D4431" s="49"/>
      <c r="E4431" s="49" t="s">
        <v>515</v>
      </c>
      <c r="F4431" s="53" t="s">
        <v>672</v>
      </c>
      <c r="G4431" s="49">
        <f>G4430</f>
        <v>350</v>
      </c>
      <c r="H4431" s="50">
        <f>H4430+C4410</f>
        <v>562</v>
      </c>
      <c r="I4431" s="50">
        <f>I4430</f>
        <v>550</v>
      </c>
      <c r="J4431" s="49">
        <f>G4431+600</f>
        <v>950</v>
      </c>
      <c r="K4431" s="49"/>
      <c r="L4431" s="49"/>
      <c r="M4431" s="49"/>
      <c r="N4431" s="49"/>
      <c r="O4431" s="49"/>
      <c r="P4431" s="49"/>
      <c r="Q4431" s="49"/>
      <c r="R4431" s="49"/>
      <c r="S4431" s="49"/>
      <c r="T4431" s="49"/>
      <c r="U4431" s="49"/>
      <c r="V4431" s="49"/>
    </row>
    <row r="4432" spans="1:22">
      <c r="A4432" s="49"/>
      <c r="B4432" s="49"/>
      <c r="C4432" s="49"/>
      <c r="D4432" s="49">
        <f t="shared" ref="D4432:D4441" si="311">F4432*2+4</f>
        <v>12</v>
      </c>
      <c r="E4432" s="49" t="s">
        <v>4</v>
      </c>
      <c r="F4432" s="49">
        <v>4</v>
      </c>
      <c r="G4432" s="50">
        <f>Q4407</f>
        <v>910</v>
      </c>
      <c r="H4432" s="50">
        <f t="shared" ref="H4432:L4433" si="312">R4407</f>
        <v>36</v>
      </c>
      <c r="I4432" s="50">
        <f t="shared" si="312"/>
        <v>940</v>
      </c>
      <c r="J4432" s="50">
        <f t="shared" si="312"/>
        <v>36</v>
      </c>
      <c r="K4432" s="50">
        <f t="shared" si="312"/>
        <v>940</v>
      </c>
      <c r="L4432" s="50">
        <f t="shared" si="312"/>
        <v>186</v>
      </c>
      <c r="M4432" s="50">
        <f>G4432</f>
        <v>910</v>
      </c>
      <c r="N4432" s="49">
        <f>L4432</f>
        <v>186</v>
      </c>
      <c r="O4432" s="49"/>
      <c r="P4432" s="49"/>
      <c r="Q4432" s="49"/>
      <c r="R4432" s="49"/>
      <c r="S4432" s="49"/>
      <c r="T4432" s="49"/>
      <c r="U4432" s="49"/>
      <c r="V4432" s="49"/>
    </row>
    <row r="4433" spans="1:22">
      <c r="A4433" s="49"/>
      <c r="B4433" s="49"/>
      <c r="C4433" s="49"/>
      <c r="D4433" s="49">
        <f t="shared" si="311"/>
        <v>12</v>
      </c>
      <c r="E4433" s="49" t="s">
        <v>4</v>
      </c>
      <c r="F4433" s="49">
        <v>4</v>
      </c>
      <c r="G4433" s="50">
        <f>Q4408</f>
        <v>310</v>
      </c>
      <c r="H4433" s="50">
        <f t="shared" si="312"/>
        <v>292</v>
      </c>
      <c r="I4433" s="50">
        <f t="shared" si="312"/>
        <v>340</v>
      </c>
      <c r="J4433" s="50">
        <f t="shared" si="312"/>
        <v>292</v>
      </c>
      <c r="K4433" s="50">
        <f t="shared" si="312"/>
        <v>340</v>
      </c>
      <c r="L4433" s="50">
        <f t="shared" si="312"/>
        <v>442</v>
      </c>
      <c r="M4433" s="50">
        <f>G4433</f>
        <v>310</v>
      </c>
      <c r="N4433" s="49">
        <f>L4433</f>
        <v>442</v>
      </c>
      <c r="O4433" s="49"/>
      <c r="P4433" s="49"/>
      <c r="Q4433" s="49"/>
      <c r="R4433" s="49"/>
      <c r="S4433" s="49"/>
      <c r="T4433" s="49"/>
      <c r="U4433" s="49"/>
      <c r="V4433" s="49"/>
    </row>
    <row r="4434" spans="1:22">
      <c r="A4434" s="49"/>
      <c r="B4434" s="49"/>
      <c r="C4434" s="49"/>
      <c r="D4434" s="49">
        <f t="shared" si="311"/>
        <v>14</v>
      </c>
      <c r="E4434" s="49" t="s">
        <v>4</v>
      </c>
      <c r="F4434" s="49">
        <v>5</v>
      </c>
      <c r="G4434" s="50">
        <f t="shared" ref="G4434:N4434" si="313">O4409</f>
        <v>870</v>
      </c>
      <c r="H4434" s="50">
        <f t="shared" si="313"/>
        <v>317</v>
      </c>
      <c r="I4434" s="50">
        <f t="shared" si="313"/>
        <v>910</v>
      </c>
      <c r="J4434" s="50">
        <f t="shared" si="313"/>
        <v>292</v>
      </c>
      <c r="K4434" s="50">
        <f t="shared" si="313"/>
        <v>940</v>
      </c>
      <c r="L4434" s="50">
        <f t="shared" si="313"/>
        <v>292</v>
      </c>
      <c r="M4434" s="50">
        <f t="shared" si="313"/>
        <v>940</v>
      </c>
      <c r="N4434" s="50">
        <f t="shared" si="313"/>
        <v>442</v>
      </c>
      <c r="O4434" s="50">
        <f>G4434</f>
        <v>870</v>
      </c>
      <c r="P4434" s="49">
        <f>N4434</f>
        <v>442</v>
      </c>
      <c r="Q4434" s="49"/>
      <c r="R4434" s="49"/>
      <c r="S4434" s="49"/>
      <c r="T4434" s="49"/>
      <c r="U4434" s="49"/>
      <c r="V4434" s="49"/>
    </row>
    <row r="4435" spans="1:22">
      <c r="A4435" s="49"/>
      <c r="B4435" s="49"/>
      <c r="C4435" s="49"/>
      <c r="D4435" s="49">
        <f t="shared" si="311"/>
        <v>16</v>
      </c>
      <c r="E4435" s="49" t="s">
        <v>4</v>
      </c>
      <c r="F4435" s="49">
        <v>6</v>
      </c>
      <c r="G4435" s="50">
        <f t="shared" ref="G4435:P4435" si="314">M4410</f>
        <v>210</v>
      </c>
      <c r="H4435" s="50">
        <f t="shared" si="314"/>
        <v>573</v>
      </c>
      <c r="I4435" s="50">
        <f t="shared" si="314"/>
        <v>270</v>
      </c>
      <c r="J4435" s="50">
        <f t="shared" si="314"/>
        <v>573</v>
      </c>
      <c r="K4435" s="50">
        <f t="shared" si="314"/>
        <v>310</v>
      </c>
      <c r="L4435" s="50">
        <f t="shared" si="314"/>
        <v>548</v>
      </c>
      <c r="M4435" s="50">
        <f t="shared" si="314"/>
        <v>340</v>
      </c>
      <c r="N4435" s="50">
        <f t="shared" si="314"/>
        <v>548</v>
      </c>
      <c r="O4435" s="50">
        <f t="shared" si="314"/>
        <v>340</v>
      </c>
      <c r="P4435" s="50">
        <f t="shared" si="314"/>
        <v>698</v>
      </c>
      <c r="Q4435" s="50">
        <f>G4435</f>
        <v>210</v>
      </c>
      <c r="R4435" s="49">
        <f>P4435</f>
        <v>698</v>
      </c>
      <c r="S4435" s="49"/>
      <c r="T4435" s="49"/>
      <c r="U4435" s="49"/>
      <c r="V4435" s="49"/>
    </row>
    <row r="4436" spans="1:22">
      <c r="A4436" s="49"/>
      <c r="B4436" s="49"/>
      <c r="C4436" s="49"/>
      <c r="D4436" s="49">
        <f t="shared" si="311"/>
        <v>18</v>
      </c>
      <c r="E4436" s="49" t="s">
        <v>4</v>
      </c>
      <c r="F4436" s="49">
        <v>7</v>
      </c>
      <c r="G4436" s="49">
        <f>I4436-59</f>
        <v>751</v>
      </c>
      <c r="H4436" s="49">
        <f>T4436-95</f>
        <v>603</v>
      </c>
      <c r="I4436" s="50">
        <f t="shared" ref="I4436:R4436" si="315">M4411</f>
        <v>810</v>
      </c>
      <c r="J4436" s="50">
        <f t="shared" si="315"/>
        <v>573</v>
      </c>
      <c r="K4436" s="50">
        <f t="shared" si="315"/>
        <v>870</v>
      </c>
      <c r="L4436" s="50">
        <f t="shared" si="315"/>
        <v>573</v>
      </c>
      <c r="M4436" s="50">
        <f t="shared" si="315"/>
        <v>910</v>
      </c>
      <c r="N4436" s="50">
        <f t="shared" si="315"/>
        <v>548</v>
      </c>
      <c r="O4436" s="50">
        <f t="shared" si="315"/>
        <v>940</v>
      </c>
      <c r="P4436" s="50">
        <f t="shared" si="315"/>
        <v>548</v>
      </c>
      <c r="Q4436" s="50">
        <f t="shared" si="315"/>
        <v>940</v>
      </c>
      <c r="R4436" s="50">
        <f t="shared" si="315"/>
        <v>698</v>
      </c>
      <c r="S4436" s="50">
        <f>G4436</f>
        <v>751</v>
      </c>
      <c r="T4436" s="49">
        <f>R4436</f>
        <v>698</v>
      </c>
      <c r="U4436" s="49"/>
      <c r="V4436" s="49"/>
    </row>
    <row r="4437" spans="1:22">
      <c r="A4437" s="49"/>
      <c r="B4437" s="49"/>
      <c r="C4437" s="49"/>
      <c r="D4437" s="49">
        <f t="shared" si="311"/>
        <v>8</v>
      </c>
      <c r="E4437" s="49" t="s">
        <v>1</v>
      </c>
      <c r="F4437" s="49">
        <v>2</v>
      </c>
      <c r="G4437" s="49">
        <f>I4436</f>
        <v>810</v>
      </c>
      <c r="H4437" s="49">
        <f>J4436</f>
        <v>573</v>
      </c>
      <c r="I4437" s="50">
        <f>G4437</f>
        <v>810</v>
      </c>
      <c r="J4437" s="49">
        <f>T4436</f>
        <v>698</v>
      </c>
      <c r="K4437" s="50"/>
      <c r="L4437" s="50"/>
      <c r="M4437" s="50"/>
      <c r="N4437" s="50"/>
      <c r="O4437" s="50"/>
      <c r="P4437" s="50"/>
      <c r="Q4437" s="50"/>
      <c r="R4437" s="50"/>
      <c r="S4437" s="50"/>
      <c r="T4437" s="49"/>
      <c r="U4437" s="49"/>
      <c r="V4437" s="49"/>
    </row>
    <row r="4438" spans="1:22">
      <c r="A4438" s="49"/>
      <c r="B4438" s="49"/>
      <c r="C4438" s="49"/>
      <c r="D4438" s="49">
        <f t="shared" si="311"/>
        <v>12</v>
      </c>
      <c r="E4438" s="49" t="s">
        <v>4</v>
      </c>
      <c r="F4438" s="49">
        <v>4</v>
      </c>
      <c r="G4438" s="49">
        <f>K4422</f>
        <v>1140</v>
      </c>
      <c r="H4438" s="49">
        <f t="shared" ref="H4438:J4441" si="316">L4422</f>
        <v>11</v>
      </c>
      <c r="I4438" s="49">
        <f t="shared" si="316"/>
        <v>1140</v>
      </c>
      <c r="J4438" s="49">
        <f t="shared" si="316"/>
        <v>211</v>
      </c>
      <c r="K4438" s="49">
        <f>I4438-4500/200</f>
        <v>1117.5</v>
      </c>
      <c r="L4438" s="49">
        <f>J4438</f>
        <v>211</v>
      </c>
      <c r="M4438" s="49">
        <f>K4438</f>
        <v>1117.5</v>
      </c>
      <c r="N4438" s="49">
        <f>H4438</f>
        <v>11</v>
      </c>
      <c r="O4438" s="49"/>
      <c r="P4438" s="49"/>
      <c r="Q4438" s="49"/>
      <c r="R4438" s="49"/>
      <c r="S4438" s="49"/>
      <c r="T4438" s="49"/>
      <c r="U4438" s="49"/>
      <c r="V4438" s="49"/>
    </row>
    <row r="4439" spans="1:22">
      <c r="A4439" s="49"/>
      <c r="B4439" s="49"/>
      <c r="C4439" s="49"/>
      <c r="D4439" s="49">
        <f t="shared" si="311"/>
        <v>12</v>
      </c>
      <c r="E4439" s="49" t="s">
        <v>4</v>
      </c>
      <c r="F4439" s="49">
        <v>4</v>
      </c>
      <c r="G4439" s="49">
        <f>K4423</f>
        <v>540</v>
      </c>
      <c r="H4439" s="49">
        <f t="shared" si="316"/>
        <v>267</v>
      </c>
      <c r="I4439" s="49">
        <f t="shared" si="316"/>
        <v>540</v>
      </c>
      <c r="J4439" s="49">
        <f t="shared" si="316"/>
        <v>467</v>
      </c>
      <c r="K4439" s="49">
        <f>I4439-4500/200</f>
        <v>517.5</v>
      </c>
      <c r="L4439" s="49">
        <f t="shared" ref="L4439:M4441" si="317">J4439</f>
        <v>467</v>
      </c>
      <c r="M4439" s="49">
        <f t="shared" si="317"/>
        <v>517.5</v>
      </c>
      <c r="N4439" s="49">
        <f>H4439</f>
        <v>267</v>
      </c>
      <c r="O4439" s="49"/>
      <c r="P4439" s="49"/>
      <c r="Q4439" s="49"/>
      <c r="R4439" s="49"/>
      <c r="S4439" s="49"/>
      <c r="T4439" s="49"/>
      <c r="U4439" s="49"/>
      <c r="V4439" s="49"/>
    </row>
    <row r="4440" spans="1:22">
      <c r="A4440" s="49"/>
      <c r="B4440" s="49"/>
      <c r="C4440" s="49"/>
      <c r="D4440" s="49">
        <f t="shared" si="311"/>
        <v>12</v>
      </c>
      <c r="E4440" s="49" t="s">
        <v>4</v>
      </c>
      <c r="F4440" s="49">
        <v>4</v>
      </c>
      <c r="G4440" s="49">
        <f>K4424</f>
        <v>1140</v>
      </c>
      <c r="H4440" s="49">
        <f t="shared" si="316"/>
        <v>267</v>
      </c>
      <c r="I4440" s="49">
        <f t="shared" si="316"/>
        <v>1140</v>
      </c>
      <c r="J4440" s="49">
        <f t="shared" si="316"/>
        <v>467</v>
      </c>
      <c r="K4440" s="49">
        <f>I4440-10000/200</f>
        <v>1090</v>
      </c>
      <c r="L4440" s="49">
        <f t="shared" si="317"/>
        <v>467</v>
      </c>
      <c r="M4440" s="49">
        <f t="shared" si="317"/>
        <v>1090</v>
      </c>
      <c r="N4440" s="49">
        <f>H4440</f>
        <v>267</v>
      </c>
      <c r="O4440" s="49"/>
      <c r="P4440" s="49"/>
      <c r="Q4440" s="49"/>
      <c r="R4440" s="49"/>
      <c r="S4440" s="49"/>
      <c r="T4440" s="49"/>
      <c r="U4440" s="49"/>
      <c r="V4440" s="49"/>
    </row>
    <row r="4441" spans="1:22">
      <c r="A4441" s="49"/>
      <c r="B4441" s="49"/>
      <c r="C4441" s="49"/>
      <c r="D4441" s="49">
        <f t="shared" si="311"/>
        <v>12</v>
      </c>
      <c r="E4441" s="49" t="s">
        <v>4</v>
      </c>
      <c r="F4441" s="49">
        <v>4</v>
      </c>
      <c r="G4441" s="49">
        <f>K4425</f>
        <v>540</v>
      </c>
      <c r="H4441" s="49">
        <f t="shared" si="316"/>
        <v>523</v>
      </c>
      <c r="I4441" s="49">
        <f t="shared" si="316"/>
        <v>540</v>
      </c>
      <c r="J4441" s="49">
        <f t="shared" si="316"/>
        <v>723</v>
      </c>
      <c r="K4441" s="49">
        <f>I4441-17500/200</f>
        <v>452.5</v>
      </c>
      <c r="L4441" s="49">
        <f t="shared" si="317"/>
        <v>723</v>
      </c>
      <c r="M4441" s="49">
        <f t="shared" si="317"/>
        <v>452.5</v>
      </c>
      <c r="N4441" s="49">
        <f>H4441</f>
        <v>523</v>
      </c>
      <c r="O4441" s="49"/>
      <c r="P4441" s="49"/>
      <c r="Q4441" s="49"/>
      <c r="R4441" s="49"/>
      <c r="S4441" s="49"/>
      <c r="T4441" s="49"/>
      <c r="U4441" s="49"/>
      <c r="V4441" s="49"/>
    </row>
    <row r="4442" spans="1:22">
      <c r="A4442" s="49"/>
      <c r="B4442" s="49"/>
      <c r="C4442" s="49"/>
      <c r="D4442" s="48">
        <v>4</v>
      </c>
      <c r="E4442" s="48" t="s">
        <v>15</v>
      </c>
      <c r="F4442" s="6">
        <v>0</v>
      </c>
      <c r="G4442" s="49"/>
      <c r="H4442" s="50"/>
      <c r="I4442" s="49"/>
      <c r="J4442" s="50"/>
      <c r="K4442" s="49"/>
      <c r="L4442" s="49"/>
      <c r="M4442" s="49"/>
      <c r="N4442" s="49"/>
      <c r="O4442" s="49"/>
      <c r="P4442" s="49"/>
      <c r="Q4442" s="49"/>
      <c r="R4442" s="49"/>
      <c r="S4442" s="49"/>
      <c r="T4442" s="49"/>
      <c r="U4442" s="49"/>
      <c r="V4442" s="49"/>
    </row>
    <row r="4443" spans="1:22">
      <c r="A4443" s="49"/>
      <c r="B4443" s="49"/>
      <c r="C4443" s="49"/>
      <c r="D4443" s="48">
        <v>4</v>
      </c>
      <c r="E4443" s="48" t="s">
        <v>15</v>
      </c>
      <c r="F4443" s="6">
        <v>5</v>
      </c>
      <c r="G4443" s="49"/>
      <c r="H4443" s="49"/>
      <c r="I4443" s="49"/>
      <c r="J4443" s="49"/>
      <c r="K4443" s="49"/>
      <c r="L4443" s="49"/>
      <c r="M4443" s="49"/>
      <c r="N4443" s="49"/>
      <c r="O4443" s="49"/>
      <c r="P4443" s="49"/>
      <c r="Q4443" s="49"/>
      <c r="R4443" s="49"/>
      <c r="S4443" s="49"/>
      <c r="T4443" s="49"/>
      <c r="U4443" s="49"/>
      <c r="V4443" s="49"/>
    </row>
    <row r="4444" spans="1:22">
      <c r="A4444" s="49"/>
      <c r="B4444" s="49"/>
      <c r="C4444" s="49"/>
      <c r="D4444" s="49">
        <v>64</v>
      </c>
      <c r="E4444" s="49" t="s">
        <v>114</v>
      </c>
      <c r="F4444" s="49">
        <v>20</v>
      </c>
      <c r="G4444" s="49">
        <f>G4411</f>
        <v>610</v>
      </c>
      <c r="H4444" s="49">
        <f>H4411+48</f>
        <v>746</v>
      </c>
      <c r="I4444" s="50">
        <f>I4436</f>
        <v>810</v>
      </c>
      <c r="J4444" s="50">
        <f>H4444</f>
        <v>746</v>
      </c>
      <c r="K4444" s="49">
        <f>G4436</f>
        <v>751</v>
      </c>
      <c r="L4444" s="49">
        <f>J4444</f>
        <v>746</v>
      </c>
      <c r="M4444" s="49" t="s">
        <v>674</v>
      </c>
      <c r="N4444" s="49" t="s">
        <v>675</v>
      </c>
      <c r="O4444" s="49"/>
      <c r="P4444" s="49"/>
      <c r="Q4444" s="49"/>
      <c r="R4444" s="49"/>
      <c r="S4444" s="49"/>
      <c r="T4444" s="49"/>
      <c r="U4444" s="49"/>
      <c r="V4444" s="49"/>
    </row>
    <row r="4445" spans="1:22">
      <c r="A4445" s="49"/>
      <c r="B4445" s="49"/>
      <c r="C4445" s="49"/>
      <c r="D4445" s="49">
        <v>44</v>
      </c>
      <c r="E4445" s="49" t="s">
        <v>112</v>
      </c>
      <c r="F4445" s="49">
        <v>20</v>
      </c>
      <c r="G4445" s="49">
        <f>G4436-31</f>
        <v>720</v>
      </c>
      <c r="H4445" s="49">
        <f>H4436</f>
        <v>603</v>
      </c>
      <c r="I4445" s="50">
        <f>G4445</f>
        <v>720</v>
      </c>
      <c r="J4445" s="49">
        <f>T4436</f>
        <v>698</v>
      </c>
      <c r="K4445" s="49"/>
      <c r="L4445" s="49"/>
      <c r="M4445" s="49"/>
      <c r="N4445" s="49"/>
      <c r="O4445" s="49"/>
      <c r="P4445" s="49"/>
      <c r="Q4445" s="49"/>
      <c r="R4445" s="49"/>
      <c r="S4445" s="49"/>
      <c r="T4445" s="49"/>
      <c r="U4445" s="49"/>
      <c r="V4445" s="49"/>
    </row>
    <row r="4446" spans="1:22">
      <c r="A4446" s="49"/>
      <c r="B4446" s="49"/>
      <c r="C4446" s="49"/>
      <c r="D4446" s="49">
        <f>ROUNDUP(6+F4446/2,0)</f>
        <v>7</v>
      </c>
      <c r="E4446" s="49" t="s">
        <v>6</v>
      </c>
      <c r="F4446" s="49">
        <f>LEN(G4446)</f>
        <v>2</v>
      </c>
      <c r="G4446" s="49" t="s">
        <v>676</v>
      </c>
      <c r="H4446" s="50">
        <f>H4445+33</f>
        <v>636</v>
      </c>
      <c r="I4446" s="50">
        <f>I4445-35</f>
        <v>685</v>
      </c>
      <c r="J4446" s="49"/>
      <c r="K4446" s="49"/>
      <c r="L4446" s="49"/>
      <c r="M4446" s="49"/>
      <c r="N4446" s="49"/>
      <c r="O4446" s="49"/>
      <c r="P4446" s="49"/>
      <c r="Q4446" s="49"/>
      <c r="R4446" s="49"/>
      <c r="S4446" s="49"/>
      <c r="T4446" s="49"/>
      <c r="U4446" s="49"/>
      <c r="V4446" s="49"/>
    </row>
    <row r="4447" spans="1:22">
      <c r="A4447" s="49"/>
      <c r="B4447" s="49"/>
      <c r="C4447" s="49"/>
      <c r="D4447" s="49">
        <f>ROUNDUP(6+F4447/2,0)</f>
        <v>10</v>
      </c>
      <c r="E4447" s="49" t="s">
        <v>6</v>
      </c>
      <c r="F4447" s="49">
        <f>LEN(G4447)</f>
        <v>8</v>
      </c>
      <c r="G4447" s="3" t="s">
        <v>677</v>
      </c>
      <c r="H4447" s="50">
        <f>F4419+7</f>
        <v>650</v>
      </c>
      <c r="I4447" s="50">
        <f>G4419+15</f>
        <v>70</v>
      </c>
      <c r="J4447" s="49"/>
      <c r="K4447" s="49"/>
      <c r="L4447" s="49"/>
      <c r="M4447" s="49"/>
      <c r="N4447" s="49"/>
      <c r="O4447" s="49"/>
      <c r="P4447" s="49"/>
      <c r="Q4447" s="49"/>
      <c r="R4447" s="49"/>
      <c r="S4447" s="49"/>
      <c r="T4447" s="49"/>
      <c r="U4447" s="49"/>
      <c r="V4447" s="49"/>
    </row>
    <row r="4448" spans="1:22">
      <c r="A4448" s="49"/>
      <c r="B4448" s="49"/>
      <c r="C4448" s="49"/>
      <c r="D4448" s="49">
        <f>ROUNDUP(6+F4448/2,0)</f>
        <v>10</v>
      </c>
      <c r="E4448" s="49" t="s">
        <v>6</v>
      </c>
      <c r="F4448" s="49">
        <f>LEN(G4448)</f>
        <v>8</v>
      </c>
      <c r="G4448" s="3" t="s">
        <v>678</v>
      </c>
      <c r="H4448" s="50">
        <f>F4420-18</f>
        <v>550</v>
      </c>
      <c r="I4448" s="50">
        <f>G4420-115</f>
        <v>90</v>
      </c>
      <c r="J4448" s="49"/>
      <c r="K4448" s="49"/>
      <c r="L4448" s="49"/>
      <c r="M4448" s="49"/>
      <c r="N4448" s="49"/>
      <c r="O4448" s="49"/>
      <c r="P4448" s="49"/>
      <c r="Q4448" s="49"/>
      <c r="R4448" s="49"/>
      <c r="S4448" s="49"/>
      <c r="T4448" s="49"/>
      <c r="U4448" s="49"/>
      <c r="V4448" s="49"/>
    </row>
    <row r="4452" spans="1:20">
      <c r="A4452" s="48" t="s">
        <v>383</v>
      </c>
      <c r="B4452" s="1" t="s">
        <v>787</v>
      </c>
      <c r="C4452" s="48"/>
      <c r="D4452" s="48" t="s">
        <v>449</v>
      </c>
      <c r="E4452" s="48">
        <v>52695</v>
      </c>
      <c r="F4452" s="6">
        <v>39622</v>
      </c>
      <c r="G4452" s="6">
        <v>0</v>
      </c>
      <c r="H4452" s="6">
        <v>0</v>
      </c>
      <c r="I4452" s="6">
        <v>0</v>
      </c>
      <c r="J4452" s="6">
        <v>1220</v>
      </c>
      <c r="K4452" s="6">
        <v>750</v>
      </c>
      <c r="L4452" s="6">
        <v>192</v>
      </c>
      <c r="M4452" s="6">
        <v>0</v>
      </c>
      <c r="N4452" s="6">
        <v>0</v>
      </c>
      <c r="O4452" s="6" t="e">
        <f ca="1">checksummeint(G4452,H4452,I4452,J4452,K4452,L4452,M4452,N4452)</f>
        <v>#NAME?</v>
      </c>
      <c r="P4452" s="48"/>
      <c r="Q4452" s="48"/>
      <c r="R4452" s="48"/>
      <c r="S4452" s="48"/>
      <c r="T4452" s="48"/>
    </row>
    <row r="4453" spans="1:20">
      <c r="A4453" s="1" t="s">
        <v>108</v>
      </c>
      <c r="B4453" s="48"/>
      <c r="C4453" s="48">
        <v>0</v>
      </c>
      <c r="D4453" s="48">
        <v>28</v>
      </c>
      <c r="E4453" s="48" t="s">
        <v>12</v>
      </c>
      <c r="F4453" s="6">
        <v>36</v>
      </c>
      <c r="G4453" s="6">
        <v>0</v>
      </c>
      <c r="H4453" s="6">
        <v>0</v>
      </c>
      <c r="I4453" s="6">
        <v>0</v>
      </c>
      <c r="J4453" s="6">
        <v>400</v>
      </c>
      <c r="K4453" s="6">
        <v>0</v>
      </c>
      <c r="L4453" s="6">
        <v>0</v>
      </c>
      <c r="M4453" s="6">
        <v>0</v>
      </c>
      <c r="N4453" s="6">
        <v>0</v>
      </c>
      <c r="O4453" s="6" t="s">
        <v>19</v>
      </c>
      <c r="P4453" s="48"/>
      <c r="Q4453" s="48"/>
      <c r="R4453" s="48"/>
      <c r="S4453" s="48"/>
      <c r="T4453" s="48"/>
    </row>
    <row r="4454" spans="1:20">
      <c r="A4454" s="48"/>
      <c r="B4454" s="48"/>
      <c r="C4454" s="48">
        <v>1</v>
      </c>
      <c r="D4454" s="48">
        <v>8</v>
      </c>
      <c r="E4454" s="48" t="s">
        <v>14</v>
      </c>
      <c r="F4454" s="6">
        <v>0</v>
      </c>
      <c r="G4454" s="6">
        <v>2</v>
      </c>
      <c r="H4454" s="6">
        <v>0</v>
      </c>
      <c r="I4454" s="6">
        <v>0</v>
      </c>
      <c r="J4454" s="6">
        <v>0</v>
      </c>
      <c r="M4454" s="44"/>
      <c r="P4454" s="48"/>
      <c r="Q4454" s="48"/>
      <c r="R4454" s="48"/>
      <c r="S4454" s="48"/>
      <c r="T4454" s="48"/>
    </row>
    <row r="4455" spans="1:20">
      <c r="A4455" s="48"/>
      <c r="B4455" s="48"/>
      <c r="C4455" s="48">
        <v>2</v>
      </c>
      <c r="D4455" s="48">
        <v>7</v>
      </c>
      <c r="E4455" s="48" t="s">
        <v>11</v>
      </c>
      <c r="F4455" s="6">
        <v>0</v>
      </c>
      <c r="G4455" s="50">
        <v>-64</v>
      </c>
      <c r="H4455" s="50">
        <v>192</v>
      </c>
      <c r="I4455" s="6">
        <v>0</v>
      </c>
      <c r="N4455" s="50"/>
      <c r="P4455" s="48"/>
      <c r="Q4455" s="48"/>
      <c r="R4455" s="48"/>
      <c r="S4455" s="48"/>
      <c r="T4455" s="48"/>
    </row>
    <row r="4456" spans="1:20">
      <c r="A4456" s="48"/>
      <c r="B4456" s="48"/>
      <c r="C4456" s="48">
        <v>3</v>
      </c>
      <c r="D4456" s="48">
        <v>28</v>
      </c>
      <c r="E4456" s="48" t="s">
        <v>12</v>
      </c>
      <c r="F4456" s="6">
        <v>144</v>
      </c>
      <c r="G4456" s="6">
        <v>0</v>
      </c>
      <c r="H4456" s="6">
        <v>0</v>
      </c>
      <c r="I4456" s="6">
        <v>0</v>
      </c>
      <c r="J4456" s="6">
        <v>400</v>
      </c>
      <c r="K4456" s="6">
        <v>0</v>
      </c>
      <c r="L4456" s="6">
        <v>0</v>
      </c>
      <c r="M4456" s="6">
        <v>0</v>
      </c>
      <c r="N4456" s="6">
        <v>0</v>
      </c>
      <c r="O4456" s="6" t="s">
        <v>19</v>
      </c>
      <c r="P4456" s="48"/>
      <c r="Q4456" s="48"/>
      <c r="R4456" s="48"/>
      <c r="S4456" s="48"/>
      <c r="T4456" s="48"/>
    </row>
    <row r="4457" spans="1:20">
      <c r="A4457" s="48"/>
      <c r="B4457" s="48"/>
      <c r="C4457" s="48">
        <v>4</v>
      </c>
      <c r="D4457" s="48">
        <v>7</v>
      </c>
      <c r="E4457" s="48" t="s">
        <v>11</v>
      </c>
      <c r="F4457" s="6">
        <v>0</v>
      </c>
      <c r="G4457" s="50">
        <v>255</v>
      </c>
      <c r="H4457" s="50">
        <v>0</v>
      </c>
      <c r="I4457" s="6">
        <v>0</v>
      </c>
      <c r="P4457" s="48"/>
      <c r="Q4457" s="48"/>
      <c r="R4457" s="48"/>
      <c r="S4457" s="48"/>
      <c r="T4457" s="48"/>
    </row>
    <row r="4458" spans="1:20">
      <c r="A4458" s="48"/>
      <c r="B4458" s="48"/>
      <c r="C4458" s="48">
        <v>5</v>
      </c>
      <c r="D4458" s="48">
        <v>7</v>
      </c>
      <c r="E4458" s="48" t="s">
        <v>11</v>
      </c>
      <c r="F4458" s="6">
        <v>0</v>
      </c>
      <c r="G4458" s="50">
        <v>0</v>
      </c>
      <c r="H4458" s="50">
        <v>0</v>
      </c>
      <c r="I4458" s="6">
        <v>0</v>
      </c>
      <c r="P4458" s="48"/>
      <c r="Q4458" s="48"/>
      <c r="R4458" s="48"/>
      <c r="S4458" s="48"/>
      <c r="T4458" s="48"/>
    </row>
    <row r="4459" spans="1:20">
      <c r="A4459" s="1"/>
      <c r="B4459" s="1"/>
      <c r="C4459" s="48"/>
      <c r="D4459" s="48">
        <v>5</v>
      </c>
      <c r="E4459" s="48" t="s">
        <v>59</v>
      </c>
      <c r="F4459" s="6">
        <v>1</v>
      </c>
      <c r="G4459" s="6">
        <v>0</v>
      </c>
      <c r="P4459" s="48"/>
      <c r="Q4459" s="48"/>
      <c r="R4459" s="48"/>
      <c r="S4459" s="48"/>
      <c r="T4459" s="48"/>
    </row>
    <row r="4460" spans="1:20">
      <c r="A4460" s="1"/>
      <c r="B4460" s="1"/>
      <c r="C4460" s="48"/>
      <c r="D4460" s="48">
        <v>4</v>
      </c>
      <c r="E4460" s="48" t="s">
        <v>15</v>
      </c>
      <c r="F4460" s="6">
        <v>0</v>
      </c>
      <c r="N4460" s="31"/>
      <c r="P4460" s="48"/>
      <c r="Q4460" s="48"/>
      <c r="R4460" s="48"/>
      <c r="S4460" s="48"/>
      <c r="T4460" s="48"/>
    </row>
    <row r="4461" spans="1:20">
      <c r="A4461" s="1"/>
      <c r="B4461" s="1"/>
      <c r="C4461" s="48"/>
      <c r="D4461" s="48">
        <v>4</v>
      </c>
      <c r="E4461" s="48" t="s">
        <v>15</v>
      </c>
      <c r="F4461" s="6">
        <v>1</v>
      </c>
      <c r="G4461" s="50"/>
      <c r="P4461" s="48">
        <f>110*105*3</f>
        <v>34650</v>
      </c>
      <c r="Q4461" s="48"/>
      <c r="R4461" s="48">
        <f>105-R4462/110</f>
        <v>51.363636363636367</v>
      </c>
      <c r="S4461" s="48">
        <f>105-S4462/110</f>
        <v>96.818181818181813</v>
      </c>
      <c r="T4461" s="48"/>
    </row>
    <row r="4462" spans="1:20">
      <c r="A4462" s="48"/>
      <c r="B4462" s="48"/>
      <c r="C4462" s="48"/>
      <c r="D4462" s="48">
        <v>4</v>
      </c>
      <c r="E4462" s="48" t="s">
        <v>15</v>
      </c>
      <c r="F4462" s="6">
        <v>2</v>
      </c>
      <c r="I4462" s="6">
        <f>(I4464-G4464)*0.5*(2*H4464-H4464-J4464)</f>
        <v>2500</v>
      </c>
      <c r="K4462" s="6">
        <f>(K4464-I4464)*0.5*(2*H4464-J4464-L4464)</f>
        <v>5000</v>
      </c>
      <c r="M4462" s="6">
        <f>(M4464-K4464)*0.5*(2*H4464-L4464-N4464)</f>
        <v>6250</v>
      </c>
      <c r="O4462" s="6">
        <f>(O4464-M4464)*0.5*(2*H4464-N4464-P4464)</f>
        <v>22500</v>
      </c>
      <c r="P4462" s="48">
        <f>110*105*2</f>
        <v>23100</v>
      </c>
      <c r="Q4462" s="6">
        <f>P4461-O4462</f>
        <v>12150</v>
      </c>
      <c r="R4462" s="48">
        <f>Q4462-M4462</f>
        <v>5900</v>
      </c>
      <c r="S4462" s="6">
        <f>R4462-K4462</f>
        <v>900</v>
      </c>
      <c r="T4462" s="48"/>
    </row>
    <row r="4463" spans="1:20">
      <c r="A4463" s="48"/>
      <c r="B4463" s="48"/>
      <c r="C4463" s="48"/>
      <c r="D4463" s="49"/>
      <c r="E4463" s="49" t="s">
        <v>517</v>
      </c>
      <c r="F4463" s="49" t="s">
        <v>682</v>
      </c>
      <c r="G4463" s="50">
        <v>0</v>
      </c>
      <c r="H4463" s="50">
        <v>1</v>
      </c>
      <c r="I4463" s="49">
        <f>G4463+C4466</f>
        <v>256</v>
      </c>
      <c r="J4463" s="49">
        <f>I4463+C4468</f>
        <v>512</v>
      </c>
      <c r="K4463" s="50"/>
      <c r="L4463" s="50"/>
      <c r="M4463" s="50"/>
      <c r="N4463" s="50"/>
      <c r="O4463" s="50"/>
      <c r="P4463" s="49"/>
      <c r="Q4463" s="49"/>
      <c r="R4463" s="49"/>
      <c r="S4463" s="49"/>
      <c r="T4463" s="49"/>
    </row>
    <row r="4464" spans="1:20">
      <c r="A4464" s="48"/>
      <c r="B4464" s="48"/>
      <c r="C4464" s="48"/>
      <c r="D4464" s="49">
        <f t="shared" ref="D4464:D4474" si="318">F4464*2+4</f>
        <v>16</v>
      </c>
      <c r="E4464" s="49" t="s">
        <v>4</v>
      </c>
      <c r="F4464" s="49">
        <v>6</v>
      </c>
      <c r="G4464" s="50">
        <v>10</v>
      </c>
      <c r="H4464" s="50">
        <v>200</v>
      </c>
      <c r="I4464" s="6">
        <f>G4464+50</f>
        <v>60</v>
      </c>
      <c r="J4464" s="6">
        <f>H4464-100</f>
        <v>100</v>
      </c>
      <c r="K4464" s="6">
        <f>I4464+50</f>
        <v>110</v>
      </c>
      <c r="L4464" s="48">
        <f>J4464</f>
        <v>100</v>
      </c>
      <c r="M4464" s="48">
        <f>K4464+50</f>
        <v>160</v>
      </c>
      <c r="N4464" s="48">
        <f>L4464-50</f>
        <v>50</v>
      </c>
      <c r="O4464" s="48">
        <f>M4464+150</f>
        <v>310</v>
      </c>
      <c r="P4464" s="48">
        <f>N4464</f>
        <v>50</v>
      </c>
      <c r="Q4464" s="48">
        <f>O4464</f>
        <v>310</v>
      </c>
      <c r="R4464" s="48">
        <f>H4464</f>
        <v>200</v>
      </c>
      <c r="S4464" s="49"/>
      <c r="T4464" s="49"/>
    </row>
    <row r="4465" spans="1:20">
      <c r="A4465" s="48"/>
      <c r="B4465" s="48">
        <v>640</v>
      </c>
      <c r="C4465" s="48">
        <v>0</v>
      </c>
      <c r="D4465" s="49">
        <f t="shared" si="318"/>
        <v>16</v>
      </c>
      <c r="E4465" s="49" t="s">
        <v>4</v>
      </c>
      <c r="F4465" s="49">
        <v>6</v>
      </c>
      <c r="G4465" s="48">
        <f t="shared" ref="G4465:H4469" si="319">G4464+B4465</f>
        <v>650</v>
      </c>
      <c r="H4465" s="48">
        <f t="shared" si="319"/>
        <v>200</v>
      </c>
      <c r="I4465" s="48">
        <f t="shared" ref="I4465:J4469" si="320">I4464+B4465</f>
        <v>700</v>
      </c>
      <c r="J4465" s="48">
        <f t="shared" si="320"/>
        <v>100</v>
      </c>
      <c r="K4465" s="48">
        <f t="shared" ref="K4465:L4469" si="321">K4464+B4465</f>
        <v>750</v>
      </c>
      <c r="L4465" s="48">
        <f t="shared" si="321"/>
        <v>100</v>
      </c>
      <c r="M4465" s="48">
        <f t="shared" ref="M4465:N4469" si="322">M4464+B4465</f>
        <v>800</v>
      </c>
      <c r="N4465" s="48">
        <f t="shared" si="322"/>
        <v>50</v>
      </c>
      <c r="O4465" s="48">
        <f t="shared" ref="O4465:P4469" si="323">O4464+B4465</f>
        <v>950</v>
      </c>
      <c r="P4465" s="48">
        <f t="shared" si="323"/>
        <v>50</v>
      </c>
      <c r="Q4465" s="48">
        <f t="shared" ref="Q4465:R4469" si="324">Q4464+B4465</f>
        <v>950</v>
      </c>
      <c r="R4465" s="48">
        <f t="shared" si="324"/>
        <v>200</v>
      </c>
      <c r="S4465" s="49"/>
      <c r="T4465" s="49"/>
    </row>
    <row r="4466" spans="1:20">
      <c r="A4466" s="48"/>
      <c r="B4466" s="48">
        <f>-B4465</f>
        <v>-640</v>
      </c>
      <c r="C4466" s="48">
        <v>256</v>
      </c>
      <c r="D4466" s="49">
        <f t="shared" si="318"/>
        <v>16</v>
      </c>
      <c r="E4466" s="49" t="s">
        <v>4</v>
      </c>
      <c r="F4466" s="49">
        <v>6</v>
      </c>
      <c r="G4466" s="48">
        <f t="shared" si="319"/>
        <v>10</v>
      </c>
      <c r="H4466" s="48">
        <f t="shared" si="319"/>
        <v>456</v>
      </c>
      <c r="I4466" s="48">
        <f t="shared" si="320"/>
        <v>60</v>
      </c>
      <c r="J4466" s="48">
        <f t="shared" si="320"/>
        <v>356</v>
      </c>
      <c r="K4466" s="48">
        <f t="shared" si="321"/>
        <v>110</v>
      </c>
      <c r="L4466" s="48">
        <f t="shared" si="321"/>
        <v>356</v>
      </c>
      <c r="M4466" s="48">
        <f t="shared" si="322"/>
        <v>160</v>
      </c>
      <c r="N4466" s="48">
        <f t="shared" si="322"/>
        <v>306</v>
      </c>
      <c r="O4466" s="48">
        <f t="shared" si="323"/>
        <v>310</v>
      </c>
      <c r="P4466" s="48">
        <f t="shared" si="323"/>
        <v>306</v>
      </c>
      <c r="Q4466" s="48">
        <f t="shared" si="324"/>
        <v>310</v>
      </c>
      <c r="R4466" s="48">
        <f t="shared" si="324"/>
        <v>456</v>
      </c>
      <c r="S4466" s="49"/>
      <c r="T4466" s="49"/>
    </row>
    <row r="4467" spans="1:20">
      <c r="A4467" s="48"/>
      <c r="B4467" s="48">
        <f>-B4466</f>
        <v>640</v>
      </c>
      <c r="C4467" s="48">
        <v>0</v>
      </c>
      <c r="D4467" s="49">
        <f t="shared" si="318"/>
        <v>16</v>
      </c>
      <c r="E4467" s="49" t="s">
        <v>4</v>
      </c>
      <c r="F4467" s="49">
        <v>6</v>
      </c>
      <c r="G4467" s="48">
        <f t="shared" si="319"/>
        <v>650</v>
      </c>
      <c r="H4467" s="48">
        <f t="shared" si="319"/>
        <v>456</v>
      </c>
      <c r="I4467" s="48">
        <f t="shared" si="320"/>
        <v>700</v>
      </c>
      <c r="J4467" s="48">
        <f t="shared" si="320"/>
        <v>356</v>
      </c>
      <c r="K4467" s="48">
        <f t="shared" si="321"/>
        <v>750</v>
      </c>
      <c r="L4467" s="48">
        <f t="shared" si="321"/>
        <v>356</v>
      </c>
      <c r="M4467" s="48">
        <f t="shared" si="322"/>
        <v>800</v>
      </c>
      <c r="N4467" s="48">
        <f t="shared" si="322"/>
        <v>306</v>
      </c>
      <c r="O4467" s="48">
        <f t="shared" si="323"/>
        <v>950</v>
      </c>
      <c r="P4467" s="48">
        <f t="shared" si="323"/>
        <v>306</v>
      </c>
      <c r="Q4467" s="48">
        <f t="shared" si="324"/>
        <v>950</v>
      </c>
      <c r="R4467" s="48">
        <f t="shared" si="324"/>
        <v>456</v>
      </c>
      <c r="S4467" s="49"/>
      <c r="T4467" s="49"/>
    </row>
    <row r="4468" spans="1:20">
      <c r="A4468" s="48"/>
      <c r="B4468" s="48">
        <f>-B4467</f>
        <v>-640</v>
      </c>
      <c r="C4468" s="48">
        <f>C4466</f>
        <v>256</v>
      </c>
      <c r="D4468" s="49">
        <f t="shared" si="318"/>
        <v>16</v>
      </c>
      <c r="E4468" s="49" t="s">
        <v>4</v>
      </c>
      <c r="F4468" s="49">
        <v>6</v>
      </c>
      <c r="G4468" s="1">
        <f t="shared" si="319"/>
        <v>10</v>
      </c>
      <c r="H4468" s="1">
        <f t="shared" si="319"/>
        <v>712</v>
      </c>
      <c r="I4468" s="1">
        <f t="shared" si="320"/>
        <v>60</v>
      </c>
      <c r="J4468" s="1">
        <f t="shared" si="320"/>
        <v>612</v>
      </c>
      <c r="K4468" s="48">
        <f t="shared" si="321"/>
        <v>110</v>
      </c>
      <c r="L4468" s="48">
        <f t="shared" si="321"/>
        <v>612</v>
      </c>
      <c r="M4468" s="48">
        <f t="shared" si="322"/>
        <v>160</v>
      </c>
      <c r="N4468" s="48">
        <f t="shared" si="322"/>
        <v>562</v>
      </c>
      <c r="O4468" s="48">
        <f t="shared" si="323"/>
        <v>310</v>
      </c>
      <c r="P4468" s="48">
        <f t="shared" si="323"/>
        <v>562</v>
      </c>
      <c r="Q4468" s="48">
        <f t="shared" si="324"/>
        <v>310</v>
      </c>
      <c r="R4468" s="48">
        <f t="shared" si="324"/>
        <v>712</v>
      </c>
      <c r="S4468" s="49"/>
      <c r="T4468" s="49"/>
    </row>
    <row r="4469" spans="1:20">
      <c r="A4469" s="48"/>
      <c r="B4469" s="48">
        <f>-B4468</f>
        <v>640</v>
      </c>
      <c r="C4469" s="48">
        <v>0</v>
      </c>
      <c r="D4469" s="49">
        <f t="shared" si="318"/>
        <v>16</v>
      </c>
      <c r="E4469" s="49" t="s">
        <v>4</v>
      </c>
      <c r="F4469" s="49">
        <v>6</v>
      </c>
      <c r="G4469" s="48">
        <f t="shared" si="319"/>
        <v>650</v>
      </c>
      <c r="H4469" s="48">
        <f t="shared" si="319"/>
        <v>712</v>
      </c>
      <c r="I4469" s="48">
        <f t="shared" si="320"/>
        <v>700</v>
      </c>
      <c r="J4469" s="48">
        <f t="shared" si="320"/>
        <v>612</v>
      </c>
      <c r="K4469" s="48">
        <f t="shared" si="321"/>
        <v>750</v>
      </c>
      <c r="L4469" s="48">
        <f t="shared" si="321"/>
        <v>612</v>
      </c>
      <c r="M4469" s="48">
        <f t="shared" si="322"/>
        <v>800</v>
      </c>
      <c r="N4469" s="48">
        <f t="shared" si="322"/>
        <v>562</v>
      </c>
      <c r="O4469" s="48">
        <f t="shared" si="323"/>
        <v>950</v>
      </c>
      <c r="P4469" s="48">
        <f t="shared" si="323"/>
        <v>562</v>
      </c>
      <c r="Q4469" s="48">
        <f t="shared" si="324"/>
        <v>950</v>
      </c>
      <c r="R4469" s="48">
        <f t="shared" si="324"/>
        <v>712</v>
      </c>
      <c r="S4469" s="49"/>
      <c r="T4469" s="49"/>
    </row>
    <row r="4470" spans="1:20">
      <c r="A4470" s="48"/>
      <c r="B4470" s="48"/>
      <c r="C4470" s="48"/>
      <c r="D4470" s="49">
        <f t="shared" si="318"/>
        <v>8</v>
      </c>
      <c r="E4470" s="49" t="s">
        <v>1</v>
      </c>
      <c r="F4470" s="49">
        <v>2</v>
      </c>
      <c r="G4470" s="50">
        <f>I4464</f>
        <v>60</v>
      </c>
      <c r="H4470" s="50">
        <f>J4464</f>
        <v>100</v>
      </c>
      <c r="I4470" s="50">
        <f>G4470</f>
        <v>60</v>
      </c>
      <c r="J4470" s="49">
        <f>H4464</f>
        <v>200</v>
      </c>
      <c r="K4470" s="48"/>
      <c r="L4470" s="48"/>
      <c r="M4470" s="48"/>
      <c r="N4470" s="48"/>
      <c r="O4470" s="48"/>
      <c r="P4470" s="48"/>
      <c r="Q4470" s="48"/>
      <c r="R4470" s="48"/>
      <c r="S4470" s="48"/>
      <c r="T4470" s="48"/>
    </row>
    <row r="4471" spans="1:20">
      <c r="A4471" s="48"/>
      <c r="B4471" s="48"/>
      <c r="C4471" s="48"/>
      <c r="D4471" s="49">
        <f t="shared" si="318"/>
        <v>8</v>
      </c>
      <c r="E4471" s="49" t="s">
        <v>1</v>
      </c>
      <c r="F4471" s="49">
        <v>2</v>
      </c>
      <c r="G4471" s="50">
        <f>K4464</f>
        <v>110</v>
      </c>
      <c r="H4471" s="50">
        <f>L4464</f>
        <v>100</v>
      </c>
      <c r="I4471" s="50">
        <f>G4471</f>
        <v>110</v>
      </c>
      <c r="J4471" s="49">
        <f>J4470</f>
        <v>200</v>
      </c>
      <c r="K4471" s="48"/>
      <c r="L4471" s="48"/>
      <c r="M4471" s="49"/>
      <c r="N4471" s="49"/>
      <c r="O4471" s="48"/>
      <c r="P4471" s="48"/>
      <c r="Q4471" s="48"/>
      <c r="R4471" s="48"/>
      <c r="S4471" s="48"/>
      <c r="T4471" s="48"/>
    </row>
    <row r="4472" spans="1:20">
      <c r="A4472" s="48"/>
      <c r="B4472" s="48"/>
      <c r="C4472" s="48"/>
      <c r="D4472" s="49">
        <f t="shared" si="318"/>
        <v>8</v>
      </c>
      <c r="E4472" s="49" t="s">
        <v>1</v>
      </c>
      <c r="F4472" s="49">
        <v>2</v>
      </c>
      <c r="G4472" s="50">
        <f>M4464</f>
        <v>160</v>
      </c>
      <c r="H4472" s="50">
        <f>N4464</f>
        <v>50</v>
      </c>
      <c r="I4472" s="50">
        <f>G4472</f>
        <v>160</v>
      </c>
      <c r="J4472" s="49">
        <f>J4471</f>
        <v>200</v>
      </c>
      <c r="K4472" s="48"/>
      <c r="L4472" s="48"/>
      <c r="M4472" s="48"/>
      <c r="N4472" s="48"/>
      <c r="O4472" s="48"/>
      <c r="P4472" s="48"/>
      <c r="Q4472" s="48"/>
      <c r="R4472" s="48"/>
      <c r="S4472" s="48"/>
      <c r="T4472" s="48"/>
    </row>
    <row r="4473" spans="1:20">
      <c r="A4473" s="48"/>
      <c r="B4473" s="48"/>
      <c r="C4473" s="48"/>
      <c r="D4473" s="49">
        <f t="shared" si="318"/>
        <v>8</v>
      </c>
      <c r="E4473" s="49" t="s">
        <v>1</v>
      </c>
      <c r="F4473" s="49">
        <v>2</v>
      </c>
      <c r="G4473" s="49">
        <f>G4468</f>
        <v>10</v>
      </c>
      <c r="H4473" s="49">
        <f>H4468</f>
        <v>712</v>
      </c>
      <c r="I4473" s="50">
        <f>G4473</f>
        <v>10</v>
      </c>
      <c r="J4473" s="49">
        <f>H4468</f>
        <v>712</v>
      </c>
      <c r="K4473" s="48"/>
      <c r="L4473" s="48"/>
      <c r="M4473" s="48"/>
      <c r="N4473" s="48"/>
      <c r="O4473" s="48"/>
      <c r="P4473" s="48"/>
      <c r="Q4473" s="48"/>
      <c r="R4473" s="48"/>
      <c r="S4473" s="48"/>
      <c r="T4473" s="48"/>
    </row>
    <row r="4474" spans="1:20">
      <c r="A4474" s="48"/>
      <c r="B4474" s="48"/>
      <c r="C4474" s="48"/>
      <c r="D4474" s="49">
        <f t="shared" si="318"/>
        <v>8</v>
      </c>
      <c r="E4474" s="49" t="s">
        <v>1</v>
      </c>
      <c r="F4474" s="49">
        <v>2</v>
      </c>
      <c r="G4474" s="49">
        <f>G4469</f>
        <v>650</v>
      </c>
      <c r="H4474" s="49">
        <f>H4469</f>
        <v>712</v>
      </c>
      <c r="I4474" s="50">
        <f>G4474</f>
        <v>650</v>
      </c>
      <c r="J4474" s="49">
        <f>H4469</f>
        <v>712</v>
      </c>
      <c r="K4474" s="48"/>
      <c r="L4474" s="48"/>
      <c r="M4474" s="48"/>
      <c r="N4474" s="48"/>
      <c r="O4474" s="48"/>
      <c r="P4474" s="48"/>
      <c r="Q4474" s="48"/>
      <c r="R4474" s="48"/>
      <c r="S4474" s="48"/>
      <c r="T4474" s="48"/>
    </row>
    <row r="4475" spans="1:20">
      <c r="A4475" s="48"/>
      <c r="B4475" s="48"/>
      <c r="C4475" s="48"/>
      <c r="D4475" s="49">
        <v>7</v>
      </c>
      <c r="E4475" s="23" t="s">
        <v>0</v>
      </c>
      <c r="F4475" s="49">
        <f>H4468-5</f>
        <v>707</v>
      </c>
      <c r="G4475" s="50">
        <f>G4468-5</f>
        <v>5</v>
      </c>
      <c r="H4475" s="49">
        <f>F4475+10</f>
        <v>717</v>
      </c>
      <c r="I4475" s="49">
        <f>G4475+10</f>
        <v>15</v>
      </c>
      <c r="J4475" s="49"/>
      <c r="K4475" s="48"/>
      <c r="L4475" s="48"/>
      <c r="M4475" s="48"/>
      <c r="N4475" s="48"/>
      <c r="O4475" s="48"/>
      <c r="P4475" s="48"/>
      <c r="Q4475" s="48"/>
      <c r="R4475" s="48"/>
      <c r="S4475" s="48"/>
      <c r="T4475" s="48"/>
    </row>
    <row r="4476" spans="1:20">
      <c r="A4476" s="48"/>
      <c r="B4476" s="48"/>
      <c r="C4476" s="48"/>
      <c r="D4476" s="49">
        <f>D4475</f>
        <v>7</v>
      </c>
      <c r="E4476" s="23" t="str">
        <f>E4475</f>
        <v>Ellipse</v>
      </c>
      <c r="F4476" s="49">
        <f>J4468-5</f>
        <v>607</v>
      </c>
      <c r="G4476" s="50">
        <f>I4468-5</f>
        <v>55</v>
      </c>
      <c r="H4476" s="49">
        <f>F4476+10</f>
        <v>617</v>
      </c>
      <c r="I4476" s="49">
        <f>G4476+10</f>
        <v>65</v>
      </c>
      <c r="J4476" s="49"/>
      <c r="K4476" s="48"/>
      <c r="L4476" s="48"/>
      <c r="M4476" s="48"/>
      <c r="N4476" s="48"/>
      <c r="O4476" s="48"/>
      <c r="P4476" s="48"/>
      <c r="Q4476" s="48"/>
      <c r="R4476" s="48"/>
      <c r="S4476" s="48"/>
      <c r="T4476" s="48"/>
    </row>
    <row r="4477" spans="1:20">
      <c r="A4477" s="48"/>
      <c r="B4477" s="48"/>
      <c r="C4477" s="48"/>
      <c r="D4477" s="49">
        <f t="shared" ref="D4477:E4481" si="325">D4476</f>
        <v>7</v>
      </c>
      <c r="E4477" s="23" t="str">
        <f t="shared" si="325"/>
        <v>Ellipse</v>
      </c>
      <c r="F4477" s="49">
        <f>H4464-5</f>
        <v>195</v>
      </c>
      <c r="G4477" s="50">
        <f>G4464-5</f>
        <v>5</v>
      </c>
      <c r="H4477" s="49">
        <f t="shared" ref="H4477:I4481" si="326">F4477+10</f>
        <v>205</v>
      </c>
      <c r="I4477" s="49">
        <f t="shared" si="326"/>
        <v>15</v>
      </c>
      <c r="J4477" s="49"/>
      <c r="K4477" s="49"/>
      <c r="L4477" s="49"/>
      <c r="M4477" s="49"/>
      <c r="N4477" s="49"/>
      <c r="O4477" s="49"/>
      <c r="P4477" s="48"/>
      <c r="Q4477" s="48"/>
      <c r="R4477" s="48"/>
      <c r="S4477" s="48"/>
      <c r="T4477" s="48"/>
    </row>
    <row r="4478" spans="1:20">
      <c r="A4478" s="48"/>
      <c r="B4478" s="48"/>
      <c r="C4478" s="48"/>
      <c r="D4478" s="49">
        <f t="shared" si="325"/>
        <v>7</v>
      </c>
      <c r="E4478" s="23" t="str">
        <f t="shared" si="325"/>
        <v>Ellipse</v>
      </c>
      <c r="F4478" s="49">
        <f>J4464-5</f>
        <v>95</v>
      </c>
      <c r="G4478" s="50">
        <f>I4464-5</f>
        <v>55</v>
      </c>
      <c r="H4478" s="49">
        <f t="shared" si="326"/>
        <v>105</v>
      </c>
      <c r="I4478" s="49">
        <f t="shared" si="326"/>
        <v>65</v>
      </c>
      <c r="J4478" s="49"/>
      <c r="K4478" s="48"/>
      <c r="L4478" s="48"/>
      <c r="M4478" s="48"/>
      <c r="N4478" s="48"/>
      <c r="O4478" s="48"/>
      <c r="P4478" s="48"/>
      <c r="Q4478" s="48"/>
      <c r="R4478" s="48"/>
      <c r="S4478" s="48"/>
      <c r="T4478" s="48"/>
    </row>
    <row r="4479" spans="1:20">
      <c r="A4479" s="48"/>
      <c r="B4479" s="48"/>
      <c r="C4479" s="48"/>
      <c r="D4479" s="49">
        <f t="shared" si="325"/>
        <v>7</v>
      </c>
      <c r="E4479" s="23" t="str">
        <f t="shared" si="325"/>
        <v>Ellipse</v>
      </c>
      <c r="F4479" s="49">
        <f>L4464-5</f>
        <v>95</v>
      </c>
      <c r="G4479" s="50">
        <f>K4464-5</f>
        <v>105</v>
      </c>
      <c r="H4479" s="49">
        <f t="shared" si="326"/>
        <v>105</v>
      </c>
      <c r="I4479" s="49">
        <f t="shared" si="326"/>
        <v>115</v>
      </c>
      <c r="J4479" s="49"/>
      <c r="K4479" s="48"/>
      <c r="L4479" s="48"/>
      <c r="M4479" s="48"/>
      <c r="N4479" s="48"/>
      <c r="O4479" s="48"/>
      <c r="P4479" s="48"/>
      <c r="Q4479" s="48"/>
      <c r="R4479" s="48"/>
      <c r="S4479" s="48"/>
      <c r="T4479" s="48"/>
    </row>
    <row r="4480" spans="1:20">
      <c r="A4480" s="48"/>
      <c r="B4480" s="48"/>
      <c r="C4480" s="48"/>
      <c r="D4480" s="49">
        <f t="shared" si="325"/>
        <v>7</v>
      </c>
      <c r="E4480" s="23" t="str">
        <f t="shared" si="325"/>
        <v>Ellipse</v>
      </c>
      <c r="F4480" s="49">
        <f>N4464-5</f>
        <v>45</v>
      </c>
      <c r="G4480" s="50">
        <f>M4464-5</f>
        <v>155</v>
      </c>
      <c r="H4480" s="49">
        <f t="shared" si="326"/>
        <v>55</v>
      </c>
      <c r="I4480" s="49">
        <f t="shared" si="326"/>
        <v>165</v>
      </c>
      <c r="J4480" s="49"/>
      <c r="K4480" s="48"/>
      <c r="L4480" s="48"/>
      <c r="M4480" s="48"/>
      <c r="N4480" s="48"/>
      <c r="O4480" s="48"/>
      <c r="P4480" s="48"/>
      <c r="Q4480" s="48"/>
      <c r="R4480" s="48"/>
      <c r="S4480" s="48"/>
      <c r="T4480" s="48"/>
    </row>
    <row r="4481" spans="1:20">
      <c r="A4481" s="48"/>
      <c r="B4481" s="48"/>
      <c r="C4481" s="48"/>
      <c r="D4481" s="49">
        <f t="shared" si="325"/>
        <v>7</v>
      </c>
      <c r="E4481" s="23" t="str">
        <f t="shared" si="325"/>
        <v>Ellipse</v>
      </c>
      <c r="F4481" s="49">
        <f>P4464-5</f>
        <v>45</v>
      </c>
      <c r="G4481" s="50">
        <f>O4464-5</f>
        <v>305</v>
      </c>
      <c r="H4481" s="49">
        <f t="shared" si="326"/>
        <v>55</v>
      </c>
      <c r="I4481" s="49">
        <f t="shared" si="326"/>
        <v>315</v>
      </c>
      <c r="J4481" s="49"/>
      <c r="K4481" s="48"/>
      <c r="L4481" s="48"/>
      <c r="M4481" s="48"/>
      <c r="N4481" s="48"/>
      <c r="O4481" s="48"/>
      <c r="P4481" s="48"/>
      <c r="Q4481" s="48"/>
      <c r="R4481" s="48"/>
      <c r="S4481" s="48"/>
      <c r="T4481" s="48"/>
    </row>
    <row r="4482" spans="1:20">
      <c r="A4482" s="48"/>
      <c r="B4482" s="48"/>
      <c r="C4482" s="48"/>
      <c r="D4482" s="49">
        <f>F4482*2+4</f>
        <v>16</v>
      </c>
      <c r="E4482" s="49" t="s">
        <v>4</v>
      </c>
      <c r="F4482" s="49">
        <v>6</v>
      </c>
      <c r="G4482" s="48">
        <f>Q4464+50</f>
        <v>360</v>
      </c>
      <c r="H4482" s="48">
        <f>R4464+25</f>
        <v>225</v>
      </c>
      <c r="I4482" s="48">
        <f>G4482</f>
        <v>360</v>
      </c>
      <c r="J4482" s="50">
        <f>H4482-110</f>
        <v>115</v>
      </c>
      <c r="K4482" s="49">
        <f>I4482+105</f>
        <v>465</v>
      </c>
      <c r="L4482" s="49">
        <f>J4482</f>
        <v>115</v>
      </c>
      <c r="M4482" s="49">
        <f>K4482</f>
        <v>465</v>
      </c>
      <c r="N4482" s="49">
        <f>L4482-110</f>
        <v>5</v>
      </c>
      <c r="O4482" s="49">
        <f>M4482+105</f>
        <v>570</v>
      </c>
      <c r="P4482" s="49">
        <f>N4482</f>
        <v>5</v>
      </c>
      <c r="Q4482" s="49">
        <f>O4482</f>
        <v>570</v>
      </c>
      <c r="R4482" s="49">
        <f>H4482</f>
        <v>225</v>
      </c>
      <c r="S4482" s="48"/>
      <c r="T4482" s="48"/>
    </row>
    <row r="4483" spans="1:20">
      <c r="A4483" s="49"/>
      <c r="B4483" s="49">
        <f>B4465</f>
        <v>640</v>
      </c>
      <c r="C4483" s="49">
        <v>0</v>
      </c>
      <c r="D4483" s="49">
        <f>F4483*2+4</f>
        <v>16</v>
      </c>
      <c r="E4483" s="49" t="s">
        <v>4</v>
      </c>
      <c r="F4483" s="49">
        <v>6</v>
      </c>
      <c r="G4483" s="48">
        <f>G4482+B4483</f>
        <v>1000</v>
      </c>
      <c r="H4483" s="48">
        <f>H4482+C4483</f>
        <v>225</v>
      </c>
      <c r="I4483" s="48">
        <f t="shared" ref="I4483:I4488" si="327">G4483</f>
        <v>1000</v>
      </c>
      <c r="J4483" s="50">
        <f t="shared" ref="J4483:J4488" si="328">H4483-110</f>
        <v>115</v>
      </c>
      <c r="K4483" s="49">
        <f t="shared" ref="K4483:K4488" si="329">I4483+105</f>
        <v>1105</v>
      </c>
      <c r="L4483" s="49">
        <f t="shared" ref="L4483:M4488" si="330">J4483</f>
        <v>115</v>
      </c>
      <c r="M4483" s="49">
        <f t="shared" si="330"/>
        <v>1105</v>
      </c>
      <c r="N4483" s="49">
        <f t="shared" ref="N4483:N4488" si="331">L4483-110</f>
        <v>5</v>
      </c>
      <c r="O4483" s="49">
        <f t="shared" ref="O4483:O4488" si="332">M4483+105</f>
        <v>1210</v>
      </c>
      <c r="P4483" s="49">
        <f t="shared" ref="P4483:P4488" si="333">N4483</f>
        <v>5</v>
      </c>
      <c r="Q4483" s="48">
        <f t="shared" ref="Q4483:R4486" si="334">Q4482+B4483</f>
        <v>1210</v>
      </c>
      <c r="R4483" s="48">
        <f t="shared" si="334"/>
        <v>225</v>
      </c>
      <c r="S4483" s="49"/>
      <c r="T4483" s="49"/>
    </row>
    <row r="4484" spans="1:20">
      <c r="A4484" s="49"/>
      <c r="B4484" s="49">
        <f>B4466</f>
        <v>-640</v>
      </c>
      <c r="C4484" s="48">
        <v>256</v>
      </c>
      <c r="D4484" s="49">
        <f>F4484*2+4</f>
        <v>16</v>
      </c>
      <c r="E4484" s="49" t="s">
        <v>4</v>
      </c>
      <c r="F4484" s="49">
        <v>6</v>
      </c>
      <c r="G4484" s="48">
        <f t="shared" ref="G4484:H4486" si="335">G4483+B4484</f>
        <v>360</v>
      </c>
      <c r="H4484" s="48">
        <f t="shared" si="335"/>
        <v>481</v>
      </c>
      <c r="I4484" s="48">
        <f t="shared" si="327"/>
        <v>360</v>
      </c>
      <c r="J4484" s="50">
        <f t="shared" si="328"/>
        <v>371</v>
      </c>
      <c r="K4484" s="49">
        <f t="shared" si="329"/>
        <v>465</v>
      </c>
      <c r="L4484" s="49">
        <f t="shared" si="330"/>
        <v>371</v>
      </c>
      <c r="M4484" s="49">
        <f t="shared" si="330"/>
        <v>465</v>
      </c>
      <c r="N4484" s="49">
        <f t="shared" si="331"/>
        <v>261</v>
      </c>
      <c r="O4484" s="49">
        <f t="shared" si="332"/>
        <v>570</v>
      </c>
      <c r="P4484" s="49">
        <f t="shared" si="333"/>
        <v>261</v>
      </c>
      <c r="Q4484" s="48">
        <f t="shared" si="334"/>
        <v>570</v>
      </c>
      <c r="R4484" s="48">
        <f t="shared" si="334"/>
        <v>481</v>
      </c>
      <c r="S4484" s="49"/>
      <c r="T4484" s="49"/>
    </row>
    <row r="4485" spans="1:20">
      <c r="A4485" s="49"/>
      <c r="B4485" s="49">
        <f>B4467</f>
        <v>640</v>
      </c>
      <c r="C4485" s="48">
        <v>0</v>
      </c>
      <c r="D4485" s="49">
        <f>F4485*2+4</f>
        <v>16</v>
      </c>
      <c r="E4485" s="49" t="s">
        <v>4</v>
      </c>
      <c r="F4485" s="49">
        <v>6</v>
      </c>
      <c r="G4485" s="48">
        <f t="shared" si="335"/>
        <v>1000</v>
      </c>
      <c r="H4485" s="48">
        <f t="shared" si="335"/>
        <v>481</v>
      </c>
      <c r="I4485" s="48">
        <f t="shared" si="327"/>
        <v>1000</v>
      </c>
      <c r="J4485" s="50">
        <f t="shared" si="328"/>
        <v>371</v>
      </c>
      <c r="K4485" s="49">
        <f t="shared" si="329"/>
        <v>1105</v>
      </c>
      <c r="L4485" s="49">
        <f t="shared" si="330"/>
        <v>371</v>
      </c>
      <c r="M4485" s="49">
        <f t="shared" si="330"/>
        <v>1105</v>
      </c>
      <c r="N4485" s="49">
        <f t="shared" si="331"/>
        <v>261</v>
      </c>
      <c r="O4485" s="49">
        <f t="shared" si="332"/>
        <v>1210</v>
      </c>
      <c r="P4485" s="49">
        <f t="shared" si="333"/>
        <v>261</v>
      </c>
      <c r="Q4485" s="48">
        <f t="shared" si="334"/>
        <v>1210</v>
      </c>
      <c r="R4485" s="48">
        <f t="shared" si="334"/>
        <v>481</v>
      </c>
      <c r="S4485" s="49"/>
      <c r="T4485" s="49"/>
    </row>
    <row r="4486" spans="1:20">
      <c r="A4486" s="49"/>
      <c r="B4486" s="49">
        <f>B4468</f>
        <v>-640</v>
      </c>
      <c r="C4486" s="48">
        <f>C4484</f>
        <v>256</v>
      </c>
      <c r="D4486" s="49">
        <f>F4486*2+4</f>
        <v>16</v>
      </c>
      <c r="E4486" s="49" t="s">
        <v>4</v>
      </c>
      <c r="F4486" s="49">
        <v>6</v>
      </c>
      <c r="G4486" s="48">
        <f t="shared" si="335"/>
        <v>360</v>
      </c>
      <c r="H4486" s="48">
        <f t="shared" si="335"/>
        <v>737</v>
      </c>
      <c r="I4486" s="48">
        <f t="shared" si="327"/>
        <v>360</v>
      </c>
      <c r="J4486" s="50">
        <f t="shared" si="328"/>
        <v>627</v>
      </c>
      <c r="K4486" s="49">
        <f t="shared" si="329"/>
        <v>465</v>
      </c>
      <c r="L4486" s="49">
        <f t="shared" si="330"/>
        <v>627</v>
      </c>
      <c r="M4486" s="49">
        <f t="shared" si="330"/>
        <v>465</v>
      </c>
      <c r="N4486" s="49">
        <f t="shared" si="331"/>
        <v>517</v>
      </c>
      <c r="O4486" s="49">
        <f t="shared" si="332"/>
        <v>570</v>
      </c>
      <c r="P4486" s="49">
        <f t="shared" si="333"/>
        <v>517</v>
      </c>
      <c r="Q4486" s="48">
        <f t="shared" si="334"/>
        <v>570</v>
      </c>
      <c r="R4486" s="48">
        <f t="shared" si="334"/>
        <v>737</v>
      </c>
      <c r="S4486" s="49"/>
      <c r="T4486" s="49"/>
    </row>
    <row r="4487" spans="1:20">
      <c r="A4487" s="49"/>
      <c r="B4487" s="49"/>
      <c r="C4487" s="48"/>
      <c r="D4487" s="48">
        <v>4</v>
      </c>
      <c r="E4487" s="48" t="s">
        <v>15</v>
      </c>
      <c r="F4487" s="6">
        <v>4</v>
      </c>
      <c r="G4487" s="48"/>
      <c r="H4487" s="48"/>
      <c r="I4487" s="48"/>
      <c r="J4487" s="50"/>
      <c r="K4487" s="49"/>
      <c r="L4487" s="49"/>
      <c r="M4487" s="49"/>
      <c r="N4487" s="49"/>
      <c r="O4487" s="49"/>
      <c r="P4487" s="49"/>
      <c r="Q4487" s="48"/>
      <c r="R4487" s="48"/>
      <c r="S4487" s="49"/>
      <c r="T4487" s="49"/>
    </row>
    <row r="4488" spans="1:20">
      <c r="A4488" s="49"/>
      <c r="B4488" s="49">
        <f>B4469</f>
        <v>640</v>
      </c>
      <c r="C4488" s="48">
        <v>0</v>
      </c>
      <c r="D4488" s="49">
        <f>F4488*2+4</f>
        <v>16</v>
      </c>
      <c r="E4488" s="49" t="s">
        <v>4</v>
      </c>
      <c r="F4488" s="49">
        <v>6</v>
      </c>
      <c r="G4488" s="48">
        <f>G4486+B4488</f>
        <v>1000</v>
      </c>
      <c r="H4488" s="48">
        <f>H4486+C4488</f>
        <v>737</v>
      </c>
      <c r="I4488" s="48">
        <f t="shared" si="327"/>
        <v>1000</v>
      </c>
      <c r="J4488" s="50">
        <f t="shared" si="328"/>
        <v>627</v>
      </c>
      <c r="K4488" s="49">
        <f t="shared" si="329"/>
        <v>1105</v>
      </c>
      <c r="L4488" s="49">
        <f t="shared" si="330"/>
        <v>627</v>
      </c>
      <c r="M4488" s="49">
        <f t="shared" si="330"/>
        <v>1105</v>
      </c>
      <c r="N4488" s="49">
        <f t="shared" si="331"/>
        <v>517</v>
      </c>
      <c r="O4488" s="49">
        <f t="shared" si="332"/>
        <v>1210</v>
      </c>
      <c r="P4488" s="49">
        <f t="shared" si="333"/>
        <v>517</v>
      </c>
      <c r="Q4488" s="48">
        <f>Q4486+B4488</f>
        <v>1210</v>
      </c>
      <c r="R4488" s="48">
        <f>R4486+C4488</f>
        <v>737</v>
      </c>
      <c r="S4488" s="49"/>
      <c r="T4488" s="49"/>
    </row>
    <row r="4489" spans="1:20">
      <c r="A4489" s="49"/>
      <c r="B4489" s="49"/>
      <c r="C4489" s="48"/>
      <c r="D4489" s="49"/>
      <c r="E4489" s="49" t="s">
        <v>515</v>
      </c>
      <c r="F4489" s="49" t="s">
        <v>679</v>
      </c>
      <c r="G4489" s="50">
        <f>G4478-20</f>
        <v>35</v>
      </c>
      <c r="H4489" s="50">
        <f>F4480+15</f>
        <v>60</v>
      </c>
      <c r="I4489" s="49">
        <f>G4479-20</f>
        <v>85</v>
      </c>
      <c r="J4489" s="49">
        <f>G4480+10</f>
        <v>165</v>
      </c>
      <c r="K4489" s="48">
        <f>G4481-30</f>
        <v>275</v>
      </c>
      <c r="L4489" s="48"/>
      <c r="M4489" s="49"/>
      <c r="N4489" s="49"/>
      <c r="O4489" s="49"/>
      <c r="P4489" s="49"/>
      <c r="Q4489" s="48"/>
      <c r="R4489" s="48"/>
      <c r="S4489" s="49"/>
      <c r="T4489" s="49"/>
    </row>
    <row r="4490" spans="1:20">
      <c r="A4490" s="49"/>
      <c r="B4490" s="49"/>
      <c r="C4490" s="48"/>
      <c r="D4490" s="49"/>
      <c r="E4490" s="49" t="s">
        <v>515</v>
      </c>
      <c r="F4490" s="49" t="s">
        <v>681</v>
      </c>
      <c r="G4490" s="50">
        <f>G4478-40</f>
        <v>15</v>
      </c>
      <c r="H4490" s="50">
        <f>F4478+65</f>
        <v>160</v>
      </c>
      <c r="I4490" s="49">
        <f>G4479-40</f>
        <v>65</v>
      </c>
      <c r="J4490" s="49">
        <f>G4480-40</f>
        <v>115</v>
      </c>
      <c r="K4490" s="48">
        <f>G4481-100</f>
        <v>205</v>
      </c>
      <c r="L4490" s="48">
        <f>K4490+180</f>
        <v>385</v>
      </c>
      <c r="M4490" s="49"/>
      <c r="N4490" s="49"/>
      <c r="O4490" s="49"/>
      <c r="P4490" s="49"/>
      <c r="Q4490" s="48"/>
      <c r="R4490" s="48"/>
      <c r="S4490" s="49"/>
      <c r="T4490" s="49"/>
    </row>
    <row r="4491" spans="1:20">
      <c r="A4491" s="49"/>
      <c r="B4491" s="49"/>
      <c r="C4491" s="48"/>
      <c r="D4491" s="49">
        <f>ROUNDUP(6+F4491/2,0)</f>
        <v>11</v>
      </c>
      <c r="E4491" s="49" t="s">
        <v>6</v>
      </c>
      <c r="F4491" s="49">
        <f>LEN(G4491)</f>
        <v>9</v>
      </c>
      <c r="G4491" s="49" t="s">
        <v>680</v>
      </c>
      <c r="H4491" s="50">
        <f>H4490+40</f>
        <v>200</v>
      </c>
      <c r="I4491" s="50">
        <f>G4490+100</f>
        <v>115</v>
      </c>
      <c r="J4491" s="49"/>
      <c r="K4491" s="48"/>
      <c r="L4491" s="48"/>
      <c r="M4491" s="49"/>
      <c r="N4491" s="49"/>
      <c r="O4491" s="49"/>
      <c r="P4491" s="49"/>
      <c r="Q4491" s="48"/>
      <c r="R4491" s="48"/>
      <c r="S4491" s="49"/>
      <c r="T4491" s="49"/>
    </row>
    <row r="4492" spans="1:20">
      <c r="A4492" s="49"/>
      <c r="B4492" s="49"/>
      <c r="C4492" s="49"/>
      <c r="D4492" s="48">
        <v>4</v>
      </c>
      <c r="E4492" s="48" t="s">
        <v>15</v>
      </c>
      <c r="F4492" s="6">
        <v>3</v>
      </c>
      <c r="G4492" s="49"/>
      <c r="H4492" s="49"/>
      <c r="I4492" s="49"/>
      <c r="J4492" s="49"/>
      <c r="K4492" s="49"/>
      <c r="L4492" s="49"/>
      <c r="M4492" s="49"/>
      <c r="N4492" s="49"/>
      <c r="O4492" s="49"/>
      <c r="P4492" s="49"/>
      <c r="Q4492" s="49"/>
      <c r="R4492" s="49"/>
      <c r="S4492" s="49"/>
      <c r="T4492" s="49"/>
    </row>
    <row r="4493" spans="1:20">
      <c r="A4493" s="49"/>
      <c r="B4493" s="49"/>
      <c r="C4493" s="49"/>
      <c r="D4493" s="49"/>
      <c r="E4493" s="49" t="s">
        <v>515</v>
      </c>
      <c r="F4493" s="53" t="s">
        <v>672</v>
      </c>
      <c r="G4493" s="49">
        <v>316</v>
      </c>
      <c r="H4493" s="49">
        <v>50</v>
      </c>
      <c r="I4493" s="49">
        <v>580</v>
      </c>
      <c r="J4493" s="49">
        <f>G4493+B4465</f>
        <v>956</v>
      </c>
      <c r="K4493" s="49"/>
      <c r="L4493" s="49"/>
      <c r="M4493" s="49"/>
      <c r="N4493" s="49"/>
      <c r="O4493" s="49"/>
      <c r="P4493" s="49"/>
      <c r="Q4493" s="49"/>
      <c r="R4493" s="49"/>
      <c r="S4493" s="49"/>
      <c r="T4493" s="49"/>
    </row>
    <row r="4494" spans="1:20">
      <c r="A4494" s="49"/>
      <c r="B4494" s="49"/>
      <c r="C4494" s="49"/>
      <c r="D4494" s="49"/>
      <c r="E4494" s="49" t="s">
        <v>515</v>
      </c>
      <c r="F4494" s="53" t="s">
        <v>672</v>
      </c>
      <c r="G4494" s="48">
        <f>G4493</f>
        <v>316</v>
      </c>
      <c r="H4494" s="48">
        <f>H4493+C4466</f>
        <v>306</v>
      </c>
      <c r="I4494" s="48">
        <f>I4493</f>
        <v>580</v>
      </c>
      <c r="J4494" s="49">
        <f>J4493</f>
        <v>956</v>
      </c>
      <c r="K4494" s="49"/>
      <c r="L4494" s="49"/>
      <c r="M4494" s="49"/>
      <c r="N4494" s="49"/>
      <c r="O4494" s="49"/>
      <c r="P4494" s="49"/>
      <c r="Q4494" s="49"/>
      <c r="R4494" s="49"/>
      <c r="S4494" s="49"/>
      <c r="T4494" s="49"/>
    </row>
    <row r="4495" spans="1:20">
      <c r="A4495" s="49"/>
      <c r="B4495" s="49"/>
      <c r="C4495" s="49"/>
      <c r="D4495" s="49"/>
      <c r="E4495" s="49" t="s">
        <v>515</v>
      </c>
      <c r="F4495" s="53" t="s">
        <v>672</v>
      </c>
      <c r="G4495" s="49">
        <f>G4494</f>
        <v>316</v>
      </c>
      <c r="H4495" s="50">
        <f>H4494+C4468</f>
        <v>562</v>
      </c>
      <c r="I4495" s="50">
        <f>I4494</f>
        <v>580</v>
      </c>
      <c r="J4495" s="49">
        <f>J4494</f>
        <v>956</v>
      </c>
      <c r="K4495" s="49"/>
      <c r="L4495" s="49"/>
      <c r="M4495" s="49"/>
      <c r="N4495" s="49"/>
      <c r="O4495" s="49"/>
      <c r="P4495" s="49"/>
      <c r="Q4495" s="49"/>
      <c r="R4495" s="49"/>
      <c r="S4495" s="49"/>
      <c r="T4495" s="49"/>
    </row>
    <row r="4496" spans="1:20">
      <c r="A4496" s="49"/>
      <c r="B4496" s="49"/>
      <c r="C4496" s="49"/>
      <c r="D4496" s="49">
        <f t="shared" ref="D4496:D4505" si="336">F4496*2+4</f>
        <v>12</v>
      </c>
      <c r="E4496" s="49" t="s">
        <v>4</v>
      </c>
      <c r="F4496" s="49">
        <v>4</v>
      </c>
      <c r="G4496" s="50">
        <f t="shared" ref="G4496:L4497" si="337">M4465</f>
        <v>800</v>
      </c>
      <c r="H4496" s="50">
        <f t="shared" si="337"/>
        <v>50</v>
      </c>
      <c r="I4496" s="50">
        <f t="shared" si="337"/>
        <v>950</v>
      </c>
      <c r="J4496" s="50">
        <f t="shared" si="337"/>
        <v>50</v>
      </c>
      <c r="K4496" s="50">
        <f t="shared" si="337"/>
        <v>950</v>
      </c>
      <c r="L4496" s="50">
        <f t="shared" si="337"/>
        <v>200</v>
      </c>
      <c r="M4496" s="50">
        <f>G4496</f>
        <v>800</v>
      </c>
      <c r="N4496" s="49">
        <f>L4496</f>
        <v>200</v>
      </c>
      <c r="O4496" s="49"/>
      <c r="P4496" s="49"/>
      <c r="Q4496" s="49"/>
      <c r="R4496" s="49"/>
      <c r="S4496" s="49"/>
      <c r="T4496" s="49"/>
    </row>
    <row r="4497" spans="1:20">
      <c r="A4497" s="49"/>
      <c r="B4497" s="49"/>
      <c r="C4497" s="49"/>
      <c r="D4497" s="49">
        <f t="shared" si="336"/>
        <v>12</v>
      </c>
      <c r="E4497" s="49" t="s">
        <v>4</v>
      </c>
      <c r="F4497" s="49">
        <v>4</v>
      </c>
      <c r="G4497" s="50">
        <f t="shared" si="337"/>
        <v>160</v>
      </c>
      <c r="H4497" s="50">
        <f t="shared" si="337"/>
        <v>306</v>
      </c>
      <c r="I4497" s="50">
        <f t="shared" si="337"/>
        <v>310</v>
      </c>
      <c r="J4497" s="50">
        <f t="shared" si="337"/>
        <v>306</v>
      </c>
      <c r="K4497" s="50">
        <f t="shared" si="337"/>
        <v>310</v>
      </c>
      <c r="L4497" s="50">
        <f t="shared" si="337"/>
        <v>456</v>
      </c>
      <c r="M4497" s="50">
        <f>G4497</f>
        <v>160</v>
      </c>
      <c r="N4497" s="49">
        <f>L4497</f>
        <v>456</v>
      </c>
      <c r="O4497" s="49"/>
      <c r="P4497" s="49"/>
      <c r="Q4497" s="49"/>
      <c r="R4497" s="49"/>
      <c r="S4497" s="49"/>
      <c r="T4497" s="49"/>
    </row>
    <row r="4498" spans="1:20">
      <c r="A4498" s="49"/>
      <c r="B4498" s="49"/>
      <c r="C4498" s="49"/>
      <c r="D4498" s="49">
        <f t="shared" si="336"/>
        <v>14</v>
      </c>
      <c r="E4498" s="49" t="s">
        <v>4</v>
      </c>
      <c r="F4498" s="49">
        <v>5</v>
      </c>
      <c r="G4498" s="50">
        <f t="shared" ref="G4498:N4498" si="338">K4467</f>
        <v>750</v>
      </c>
      <c r="H4498" s="50">
        <f t="shared" si="338"/>
        <v>356</v>
      </c>
      <c r="I4498" s="50">
        <f t="shared" si="338"/>
        <v>800</v>
      </c>
      <c r="J4498" s="50">
        <f t="shared" si="338"/>
        <v>306</v>
      </c>
      <c r="K4498" s="50">
        <f t="shared" si="338"/>
        <v>950</v>
      </c>
      <c r="L4498" s="50">
        <f t="shared" si="338"/>
        <v>306</v>
      </c>
      <c r="M4498" s="50">
        <f t="shared" si="338"/>
        <v>950</v>
      </c>
      <c r="N4498" s="50">
        <f t="shared" si="338"/>
        <v>456</v>
      </c>
      <c r="O4498" s="50">
        <f>G4498</f>
        <v>750</v>
      </c>
      <c r="P4498" s="49">
        <f>N4498</f>
        <v>456</v>
      </c>
      <c r="Q4498" s="49"/>
      <c r="R4498" s="49"/>
      <c r="S4498" s="49"/>
      <c r="T4498" s="49"/>
    </row>
    <row r="4499" spans="1:20">
      <c r="A4499" s="49"/>
      <c r="B4499" s="49"/>
      <c r="C4499" s="49"/>
      <c r="D4499" s="49">
        <f t="shared" si="336"/>
        <v>16</v>
      </c>
      <c r="E4499" s="49" t="s">
        <v>4</v>
      </c>
      <c r="F4499" s="49">
        <v>6</v>
      </c>
      <c r="G4499" s="50">
        <f t="shared" ref="G4499:P4499" si="339">I4468</f>
        <v>60</v>
      </c>
      <c r="H4499" s="50">
        <f t="shared" si="339"/>
        <v>612</v>
      </c>
      <c r="I4499" s="50">
        <f t="shared" si="339"/>
        <v>110</v>
      </c>
      <c r="J4499" s="50">
        <f t="shared" si="339"/>
        <v>612</v>
      </c>
      <c r="K4499" s="50">
        <f t="shared" si="339"/>
        <v>160</v>
      </c>
      <c r="L4499" s="50">
        <f t="shared" si="339"/>
        <v>562</v>
      </c>
      <c r="M4499" s="50">
        <f t="shared" si="339"/>
        <v>310</v>
      </c>
      <c r="N4499" s="50">
        <f t="shared" si="339"/>
        <v>562</v>
      </c>
      <c r="O4499" s="50">
        <f t="shared" si="339"/>
        <v>310</v>
      </c>
      <c r="P4499" s="50">
        <f t="shared" si="339"/>
        <v>712</v>
      </c>
      <c r="Q4499" s="50">
        <f>G4499</f>
        <v>60</v>
      </c>
      <c r="R4499" s="49">
        <f>P4499</f>
        <v>712</v>
      </c>
      <c r="S4499" s="49"/>
      <c r="T4499" s="49"/>
    </row>
    <row r="4500" spans="1:20">
      <c r="A4500" s="49"/>
      <c r="B4500" s="49"/>
      <c r="C4500" s="49"/>
      <c r="D4500" s="49">
        <f t="shared" si="336"/>
        <v>18</v>
      </c>
      <c r="E4500" s="49" t="s">
        <v>4</v>
      </c>
      <c r="F4500" s="49">
        <v>7</v>
      </c>
      <c r="G4500" s="49">
        <f>I4500-10</f>
        <v>690</v>
      </c>
      <c r="H4500" s="49">
        <f>T4500-80</f>
        <v>632</v>
      </c>
      <c r="I4500" s="50">
        <f t="shared" ref="I4500:R4500" si="340">I4469</f>
        <v>700</v>
      </c>
      <c r="J4500" s="50">
        <f t="shared" si="340"/>
        <v>612</v>
      </c>
      <c r="K4500" s="50">
        <f t="shared" si="340"/>
        <v>750</v>
      </c>
      <c r="L4500" s="50">
        <f t="shared" si="340"/>
        <v>612</v>
      </c>
      <c r="M4500" s="50">
        <f t="shared" si="340"/>
        <v>800</v>
      </c>
      <c r="N4500" s="50">
        <f t="shared" si="340"/>
        <v>562</v>
      </c>
      <c r="O4500" s="50">
        <f t="shared" si="340"/>
        <v>950</v>
      </c>
      <c r="P4500" s="50">
        <f t="shared" si="340"/>
        <v>562</v>
      </c>
      <c r="Q4500" s="50">
        <f t="shared" si="340"/>
        <v>950</v>
      </c>
      <c r="R4500" s="50">
        <f t="shared" si="340"/>
        <v>712</v>
      </c>
      <c r="S4500" s="50">
        <f>G4500</f>
        <v>690</v>
      </c>
      <c r="T4500" s="49">
        <f>R4500</f>
        <v>712</v>
      </c>
    </row>
    <row r="4501" spans="1:20">
      <c r="A4501" s="49"/>
      <c r="B4501" s="49"/>
      <c r="C4501" s="49"/>
      <c r="D4501" s="49">
        <f t="shared" si="336"/>
        <v>8</v>
      </c>
      <c r="E4501" s="49" t="s">
        <v>1</v>
      </c>
      <c r="F4501" s="49">
        <v>2</v>
      </c>
      <c r="G4501" s="49">
        <f>I4500</f>
        <v>700</v>
      </c>
      <c r="H4501" s="49">
        <f>J4500</f>
        <v>612</v>
      </c>
      <c r="I4501" s="50">
        <f>G4501</f>
        <v>700</v>
      </c>
      <c r="J4501" s="49">
        <f>T4500</f>
        <v>712</v>
      </c>
      <c r="K4501" s="50"/>
      <c r="L4501" s="50"/>
      <c r="M4501" s="50"/>
      <c r="N4501" s="50"/>
      <c r="O4501" s="50"/>
      <c r="P4501" s="50"/>
      <c r="Q4501" s="50"/>
      <c r="R4501" s="50"/>
      <c r="S4501" s="50"/>
      <c r="T4501" s="49"/>
    </row>
    <row r="4502" spans="1:20">
      <c r="A4502" s="49"/>
      <c r="B4502" s="49"/>
      <c r="C4502" s="49"/>
      <c r="D4502" s="49">
        <f t="shared" si="336"/>
        <v>12</v>
      </c>
      <c r="E4502" s="49" t="s">
        <v>4</v>
      </c>
      <c r="F4502" s="49">
        <v>4</v>
      </c>
      <c r="G4502" s="49">
        <f t="shared" ref="G4502:J4505" si="341">O4483</f>
        <v>1210</v>
      </c>
      <c r="H4502" s="49">
        <f t="shared" si="341"/>
        <v>5</v>
      </c>
      <c r="I4502" s="49">
        <f t="shared" si="341"/>
        <v>1210</v>
      </c>
      <c r="J4502" s="49">
        <f t="shared" si="341"/>
        <v>225</v>
      </c>
      <c r="K4502" s="49">
        <f>I4502-102</f>
        <v>1108</v>
      </c>
      <c r="L4502" s="49">
        <f t="shared" ref="L4502:M4505" si="342">J4502</f>
        <v>225</v>
      </c>
      <c r="M4502" s="49">
        <f>K4502</f>
        <v>1108</v>
      </c>
      <c r="N4502" s="49">
        <f>H4502</f>
        <v>5</v>
      </c>
      <c r="O4502" s="49"/>
      <c r="P4502" s="49"/>
      <c r="Q4502" s="49"/>
      <c r="R4502" s="49"/>
      <c r="S4502" s="49"/>
      <c r="T4502" s="49"/>
    </row>
    <row r="4503" spans="1:20">
      <c r="A4503" s="49"/>
      <c r="B4503" s="49"/>
      <c r="C4503" s="49"/>
      <c r="D4503" s="49">
        <f t="shared" si="336"/>
        <v>12</v>
      </c>
      <c r="E4503" s="49" t="s">
        <v>4</v>
      </c>
      <c r="F4503" s="49">
        <v>4</v>
      </c>
      <c r="G4503" s="49">
        <f t="shared" si="341"/>
        <v>570</v>
      </c>
      <c r="H4503" s="49">
        <f t="shared" si="341"/>
        <v>261</v>
      </c>
      <c r="I4503" s="49">
        <f t="shared" si="341"/>
        <v>570</v>
      </c>
      <c r="J4503" s="49">
        <f t="shared" si="341"/>
        <v>481</v>
      </c>
      <c r="K4503" s="49">
        <f>I4503-102</f>
        <v>468</v>
      </c>
      <c r="L4503" s="49">
        <f t="shared" si="342"/>
        <v>481</v>
      </c>
      <c r="M4503" s="49">
        <f>K4503</f>
        <v>468</v>
      </c>
      <c r="N4503" s="49">
        <f>H4503</f>
        <v>261</v>
      </c>
      <c r="O4503" s="49"/>
      <c r="P4503" s="49"/>
      <c r="Q4503" s="49"/>
      <c r="R4503" s="49"/>
      <c r="S4503" s="49"/>
      <c r="T4503" s="49"/>
    </row>
    <row r="4504" spans="1:20">
      <c r="A4504" s="49"/>
      <c r="B4504" s="49"/>
      <c r="C4504" s="49"/>
      <c r="D4504" s="49">
        <f t="shared" si="336"/>
        <v>16</v>
      </c>
      <c r="E4504" s="49" t="s">
        <v>4</v>
      </c>
      <c r="F4504" s="49">
        <v>6</v>
      </c>
      <c r="G4504" s="49">
        <f t="shared" si="341"/>
        <v>1210</v>
      </c>
      <c r="H4504" s="49">
        <f t="shared" si="341"/>
        <v>261</v>
      </c>
      <c r="I4504" s="49">
        <f t="shared" si="341"/>
        <v>1210</v>
      </c>
      <c r="J4504" s="49">
        <f t="shared" si="341"/>
        <v>481</v>
      </c>
      <c r="K4504" s="49">
        <f>I4504-105-51</f>
        <v>1054</v>
      </c>
      <c r="L4504" s="49">
        <f t="shared" si="342"/>
        <v>481</v>
      </c>
      <c r="M4504" s="49">
        <f t="shared" si="342"/>
        <v>1054</v>
      </c>
      <c r="N4504" s="49">
        <f>L4504-110</f>
        <v>371</v>
      </c>
      <c r="O4504" s="49">
        <f>M4504+51</f>
        <v>1105</v>
      </c>
      <c r="P4504" s="49">
        <f>N4504</f>
        <v>371</v>
      </c>
      <c r="Q4504" s="49">
        <f>O4504</f>
        <v>1105</v>
      </c>
      <c r="R4504" s="49">
        <f>H4504</f>
        <v>261</v>
      </c>
      <c r="S4504" s="49"/>
      <c r="T4504" s="49"/>
    </row>
    <row r="4505" spans="1:20">
      <c r="A4505" s="49"/>
      <c r="B4505" s="49"/>
      <c r="C4505" s="49"/>
      <c r="D4505" s="49">
        <f t="shared" si="336"/>
        <v>16</v>
      </c>
      <c r="E4505" s="49" t="s">
        <v>4</v>
      </c>
      <c r="F4505" s="49">
        <v>6</v>
      </c>
      <c r="G4505" s="49">
        <f t="shared" si="341"/>
        <v>570</v>
      </c>
      <c r="H4505" s="49">
        <f t="shared" si="341"/>
        <v>517</v>
      </c>
      <c r="I4505" s="49">
        <f t="shared" si="341"/>
        <v>570</v>
      </c>
      <c r="J4505" s="49">
        <f t="shared" si="341"/>
        <v>737</v>
      </c>
      <c r="K4505" s="49">
        <f>I4505-105-97</f>
        <v>368</v>
      </c>
      <c r="L4505" s="49">
        <f t="shared" si="342"/>
        <v>737</v>
      </c>
      <c r="M4505" s="49">
        <f t="shared" si="342"/>
        <v>368</v>
      </c>
      <c r="N4505" s="49">
        <f>L4505-110</f>
        <v>627</v>
      </c>
      <c r="O4505" s="49">
        <f>M4505+97</f>
        <v>465</v>
      </c>
      <c r="P4505" s="49">
        <f>N4505</f>
        <v>627</v>
      </c>
      <c r="Q4505" s="49">
        <f>O4505</f>
        <v>465</v>
      </c>
      <c r="R4505" s="49">
        <f>H4505</f>
        <v>517</v>
      </c>
      <c r="S4505" s="49"/>
      <c r="T4505" s="49"/>
    </row>
    <row r="4506" spans="1:20">
      <c r="A4506" s="49"/>
      <c r="B4506" s="49"/>
      <c r="C4506" s="49"/>
      <c r="D4506" s="48">
        <v>4</v>
      </c>
      <c r="E4506" s="48" t="s">
        <v>15</v>
      </c>
      <c r="F4506" s="6">
        <v>0</v>
      </c>
      <c r="G4506" s="49"/>
      <c r="H4506" s="50"/>
      <c r="I4506" s="49"/>
      <c r="J4506" s="50"/>
      <c r="K4506" s="49"/>
      <c r="L4506" s="49"/>
      <c r="M4506" s="49"/>
      <c r="N4506" s="49"/>
      <c r="O4506" s="49"/>
      <c r="P4506" s="49"/>
      <c r="Q4506" s="49"/>
      <c r="R4506" s="49"/>
      <c r="S4506" s="49"/>
      <c r="T4506" s="49"/>
    </row>
    <row r="4507" spans="1:20">
      <c r="A4507" s="49"/>
      <c r="B4507" s="49"/>
      <c r="C4507" s="49"/>
      <c r="D4507" s="48">
        <v>4</v>
      </c>
      <c r="E4507" s="48" t="s">
        <v>15</v>
      </c>
      <c r="F4507" s="6">
        <v>5</v>
      </c>
      <c r="G4507" s="49"/>
      <c r="H4507" s="49"/>
      <c r="I4507" s="49"/>
      <c r="J4507" s="49"/>
      <c r="K4507" s="49"/>
      <c r="L4507" s="49"/>
      <c r="M4507" s="49"/>
      <c r="N4507" s="49"/>
      <c r="O4507" s="49"/>
      <c r="P4507" s="49"/>
      <c r="Q4507" s="49"/>
      <c r="R4507" s="49"/>
      <c r="S4507" s="49"/>
      <c r="T4507" s="49"/>
    </row>
    <row r="4508" spans="1:20">
      <c r="A4508" s="49"/>
      <c r="B4508" s="49"/>
      <c r="C4508" s="49"/>
      <c r="D4508" s="49">
        <v>64</v>
      </c>
      <c r="E4508" s="49" t="s">
        <v>114</v>
      </c>
      <c r="F4508" s="49">
        <v>10</v>
      </c>
      <c r="G4508" s="49">
        <f>G4469</f>
        <v>650</v>
      </c>
      <c r="H4508" s="49">
        <f>G4469-60</f>
        <v>590</v>
      </c>
      <c r="I4508" s="50">
        <f>I4500</f>
        <v>700</v>
      </c>
      <c r="J4508" s="50">
        <f>H4508</f>
        <v>590</v>
      </c>
      <c r="K4508" s="49">
        <f>G4500</f>
        <v>690</v>
      </c>
      <c r="L4508" s="49">
        <f>J4508</f>
        <v>590</v>
      </c>
      <c r="M4508" s="49"/>
      <c r="N4508" s="49"/>
      <c r="O4508" s="49"/>
      <c r="P4508" s="49"/>
      <c r="Q4508" s="49"/>
      <c r="R4508" s="49"/>
      <c r="S4508" s="49"/>
      <c r="T4508" s="49"/>
    </row>
    <row r="4509" spans="1:20">
      <c r="A4509" s="49"/>
      <c r="B4509" s="49"/>
      <c r="C4509" s="49"/>
      <c r="D4509" s="49">
        <v>44</v>
      </c>
      <c r="E4509" s="49" t="s">
        <v>112</v>
      </c>
      <c r="F4509" s="49">
        <v>20</v>
      </c>
      <c r="G4509" s="49">
        <f>G4500+50</f>
        <v>740</v>
      </c>
      <c r="H4509" s="49">
        <f>H4500</f>
        <v>632</v>
      </c>
      <c r="I4509" s="50">
        <f>G4509</f>
        <v>740</v>
      </c>
      <c r="J4509" s="49">
        <f>T4500</f>
        <v>712</v>
      </c>
      <c r="K4509" s="49"/>
      <c r="L4509" s="49"/>
      <c r="M4509" s="49"/>
      <c r="N4509" s="49"/>
      <c r="O4509" s="49"/>
      <c r="P4509" s="49"/>
      <c r="Q4509" s="49"/>
      <c r="R4509" s="49"/>
      <c r="S4509" s="49"/>
      <c r="T4509" s="49"/>
    </row>
    <row r="4510" spans="1:20">
      <c r="A4510" s="49"/>
      <c r="B4510" s="49"/>
      <c r="C4510" s="49"/>
      <c r="D4510" s="49">
        <f>ROUNDUP(6+F4510/2,0)</f>
        <v>13</v>
      </c>
      <c r="E4510" s="49" t="s">
        <v>6</v>
      </c>
      <c r="F4510" s="49">
        <f>LEN(G4510)</f>
        <v>13</v>
      </c>
      <c r="G4510" s="3" t="s">
        <v>689</v>
      </c>
      <c r="H4510" s="50">
        <f>H4508-40</f>
        <v>550</v>
      </c>
      <c r="I4510" s="50">
        <f>I4508-110</f>
        <v>590</v>
      </c>
      <c r="J4510" s="49"/>
      <c r="K4510" s="49"/>
      <c r="L4510" s="49"/>
      <c r="M4510" s="49"/>
      <c r="N4510" s="49"/>
      <c r="O4510" s="49"/>
      <c r="P4510" s="49"/>
      <c r="Q4510" s="49"/>
      <c r="R4510" s="49"/>
      <c r="S4510" s="49"/>
      <c r="T4510" s="49"/>
    </row>
    <row r="4511" spans="1:20">
      <c r="A4511" s="49"/>
      <c r="B4511" s="49"/>
      <c r="C4511" s="49"/>
      <c r="D4511" s="49">
        <f>ROUNDUP(6+F4511/2,0)</f>
        <v>9</v>
      </c>
      <c r="E4511" s="49" t="s">
        <v>6</v>
      </c>
      <c r="F4511" s="49">
        <f>LEN(G4511)</f>
        <v>5</v>
      </c>
      <c r="G4511" s="3" t="s">
        <v>690</v>
      </c>
      <c r="H4511" s="50">
        <f>H4509+23</f>
        <v>655</v>
      </c>
      <c r="I4511" s="50">
        <f>I4509-35</f>
        <v>705</v>
      </c>
      <c r="J4511" s="49"/>
      <c r="K4511" s="49"/>
      <c r="L4511" s="49"/>
      <c r="M4511" s="49"/>
      <c r="N4511" s="49"/>
      <c r="O4511" s="49"/>
      <c r="P4511" s="49"/>
      <c r="Q4511" s="49"/>
      <c r="R4511" s="49"/>
      <c r="S4511" s="49"/>
      <c r="T4511" s="49"/>
    </row>
    <row r="4512" spans="1:20">
      <c r="A4512" s="49"/>
      <c r="B4512" s="49"/>
      <c r="C4512" s="49"/>
      <c r="D4512" s="49">
        <f>ROUNDUP(6+F4512/2,0)</f>
        <v>10</v>
      </c>
      <c r="E4512" s="49" t="s">
        <v>6</v>
      </c>
      <c r="F4512" s="49">
        <f>LEN(G4512)</f>
        <v>8</v>
      </c>
      <c r="G4512" s="3" t="s">
        <v>677</v>
      </c>
      <c r="H4512" s="50">
        <f>F4475+7</f>
        <v>714</v>
      </c>
      <c r="I4512" s="50">
        <f>G4475+5</f>
        <v>10</v>
      </c>
      <c r="J4512" s="49"/>
      <c r="K4512" s="49"/>
      <c r="L4512" s="49"/>
      <c r="M4512" s="49"/>
      <c r="N4512" s="49"/>
      <c r="O4512" s="49"/>
      <c r="P4512" s="49"/>
      <c r="Q4512" s="49"/>
      <c r="R4512" s="49"/>
      <c r="S4512" s="49"/>
      <c r="T4512" s="49"/>
    </row>
    <row r="4513" spans="1:38">
      <c r="A4513" s="49"/>
      <c r="B4513" s="49"/>
      <c r="C4513" s="49"/>
      <c r="D4513" s="49">
        <f>ROUNDUP(6+F4513/2,0)</f>
        <v>10</v>
      </c>
      <c r="E4513" s="49" t="s">
        <v>6</v>
      </c>
      <c r="F4513" s="49">
        <f>LEN(G4513)</f>
        <v>8</v>
      </c>
      <c r="G4513" s="3" t="s">
        <v>678</v>
      </c>
      <c r="H4513" s="50">
        <f>F4476-30</f>
        <v>577</v>
      </c>
      <c r="I4513" s="50">
        <f>I4512</f>
        <v>10</v>
      </c>
      <c r="J4513" s="49"/>
      <c r="K4513" s="49"/>
      <c r="L4513" s="49"/>
      <c r="M4513" s="49"/>
      <c r="N4513" s="49"/>
      <c r="O4513" s="49"/>
      <c r="P4513" s="49"/>
      <c r="Q4513" s="49"/>
      <c r="R4513" s="49"/>
      <c r="S4513" s="49"/>
      <c r="T4513" s="49"/>
    </row>
    <row r="4514" spans="1:38">
      <c r="A4514" s="49"/>
      <c r="B4514" s="49"/>
      <c r="C4514" s="49"/>
      <c r="D4514" s="49">
        <v>44</v>
      </c>
      <c r="E4514" s="49" t="s">
        <v>112</v>
      </c>
      <c r="F4514" s="49">
        <v>20</v>
      </c>
      <c r="G4514" s="49">
        <f>G4466</f>
        <v>10</v>
      </c>
      <c r="H4514" s="50">
        <f>H4466+40</f>
        <v>496</v>
      </c>
      <c r="I4514" s="50">
        <f>Q4466</f>
        <v>310</v>
      </c>
      <c r="J4514" s="49">
        <f>H4514</f>
        <v>496</v>
      </c>
      <c r="K4514" s="49"/>
      <c r="L4514" s="49"/>
      <c r="M4514" s="49"/>
      <c r="N4514" s="49"/>
      <c r="O4514" s="49"/>
      <c r="P4514" s="49"/>
      <c r="Q4514" s="49"/>
      <c r="R4514" s="49"/>
      <c r="S4514" s="49"/>
      <c r="T4514" s="49"/>
    </row>
    <row r="4515" spans="1:38">
      <c r="A4515" s="49"/>
      <c r="B4515" s="49"/>
      <c r="C4515" s="49"/>
      <c r="D4515" s="49">
        <v>18</v>
      </c>
      <c r="E4515" s="49" t="s">
        <v>111</v>
      </c>
      <c r="F4515" s="49">
        <v>20</v>
      </c>
      <c r="G4515" s="49">
        <f>G4484</f>
        <v>360</v>
      </c>
      <c r="H4515" s="50">
        <f>H4484-40</f>
        <v>441</v>
      </c>
      <c r="I4515" s="50">
        <f>Q4484</f>
        <v>570</v>
      </c>
      <c r="J4515" s="49">
        <f>H4515</f>
        <v>441</v>
      </c>
      <c r="K4515" s="49"/>
      <c r="L4515" s="49"/>
      <c r="M4515" s="49"/>
      <c r="N4515" s="49"/>
      <c r="O4515" s="49"/>
      <c r="P4515" s="49"/>
      <c r="Q4515" s="49"/>
      <c r="R4515" s="49"/>
      <c r="S4515" s="49"/>
      <c r="T4515" s="49"/>
    </row>
    <row r="4516" spans="1:38">
      <c r="A4516" s="49"/>
      <c r="B4516" s="49"/>
      <c r="C4516" s="49"/>
      <c r="D4516" s="48">
        <v>10</v>
      </c>
      <c r="E4516" s="48" t="s">
        <v>4</v>
      </c>
      <c r="F4516" s="49">
        <v>3</v>
      </c>
      <c r="G4516" s="49">
        <f>G4515</f>
        <v>360</v>
      </c>
      <c r="H4516" s="49">
        <f>H4515</f>
        <v>441</v>
      </c>
      <c r="I4516" s="49">
        <f>G4516+F4515</f>
        <v>380</v>
      </c>
      <c r="J4516" s="49">
        <f>H4516-F4515/2</f>
        <v>431</v>
      </c>
      <c r="K4516" s="49">
        <f>I4516</f>
        <v>380</v>
      </c>
      <c r="L4516" s="49">
        <f>J4516+F4515</f>
        <v>451</v>
      </c>
      <c r="M4516" s="49"/>
      <c r="N4516" s="49"/>
      <c r="O4516" s="49"/>
      <c r="P4516" s="49"/>
      <c r="Q4516" s="49"/>
      <c r="R4516" s="49"/>
      <c r="S4516" s="49"/>
      <c r="T4516" s="49"/>
    </row>
    <row r="4517" spans="1:38">
      <c r="A4517" s="49"/>
      <c r="B4517" s="49"/>
      <c r="C4517" s="49"/>
      <c r="D4517" s="49">
        <f>ROUNDUP(6+F4517/2,0)</f>
        <v>9</v>
      </c>
      <c r="E4517" s="49" t="s">
        <v>6</v>
      </c>
      <c r="F4517" s="49">
        <f>LEN(G4517)</f>
        <v>6</v>
      </c>
      <c r="G4517" s="3" t="s">
        <v>685</v>
      </c>
      <c r="H4517" s="50">
        <f>H4514-36</f>
        <v>460</v>
      </c>
      <c r="I4517" s="50">
        <f>0.5*(G4514+I4514)-30</f>
        <v>130</v>
      </c>
      <c r="J4517" s="49"/>
      <c r="K4517" s="49"/>
      <c r="L4517" s="49"/>
      <c r="M4517" s="49"/>
      <c r="N4517" s="49"/>
      <c r="O4517" s="49"/>
      <c r="P4517" s="49"/>
      <c r="Q4517" s="49"/>
      <c r="R4517" s="49"/>
      <c r="S4517" s="49"/>
      <c r="T4517" s="49"/>
    </row>
    <row r="4518" spans="1:38">
      <c r="A4518" s="49"/>
      <c r="B4518" s="49"/>
      <c r="C4518" s="49"/>
      <c r="D4518" s="49">
        <f>ROUNDUP(6+F4518/2,0)</f>
        <v>10</v>
      </c>
      <c r="E4518" s="49" t="s">
        <v>6</v>
      </c>
      <c r="F4518" s="49">
        <f>LEN(G4518)</f>
        <v>8</v>
      </c>
      <c r="G4518" s="3" t="s">
        <v>686</v>
      </c>
      <c r="H4518" s="50">
        <f>H4515-36</f>
        <v>405</v>
      </c>
      <c r="I4518" s="50">
        <f>0.5*(G4515+I4515)-70</f>
        <v>395</v>
      </c>
      <c r="J4518" s="49"/>
      <c r="K4518" s="49"/>
      <c r="L4518" s="49"/>
      <c r="M4518" s="49"/>
      <c r="N4518" s="49"/>
      <c r="O4518" s="49"/>
      <c r="P4518" s="49"/>
      <c r="Q4518" s="49"/>
      <c r="R4518" s="49"/>
      <c r="S4518" s="49"/>
      <c r="T4518" s="49"/>
    </row>
    <row r="4519" spans="1:38">
      <c r="A4519" s="49"/>
      <c r="B4519" s="49"/>
      <c r="C4519" s="49"/>
      <c r="D4519" s="49"/>
      <c r="E4519" s="49" t="s">
        <v>515</v>
      </c>
      <c r="F4519" s="3" t="s">
        <v>683</v>
      </c>
      <c r="G4519" s="50">
        <f>K4490-40</f>
        <v>165</v>
      </c>
      <c r="H4519" s="50">
        <f>H4490-35</f>
        <v>125</v>
      </c>
      <c r="I4519" s="49">
        <f>L4490</f>
        <v>385</v>
      </c>
      <c r="J4519" s="49">
        <f>G4465+50</f>
        <v>700</v>
      </c>
      <c r="K4519" s="48">
        <f>G4496+10</f>
        <v>810</v>
      </c>
      <c r="L4519" s="48">
        <f>G4483+10</f>
        <v>1010</v>
      </c>
      <c r="M4519" s="49">
        <f>K4502+10</f>
        <v>1118</v>
      </c>
      <c r="N4519" s="49"/>
      <c r="O4519" s="49"/>
      <c r="P4519" s="49"/>
      <c r="Q4519" s="49"/>
      <c r="R4519" s="49"/>
      <c r="S4519" s="49"/>
      <c r="T4519" s="49"/>
    </row>
    <row r="4520" spans="1:38">
      <c r="A4520" s="49"/>
      <c r="B4520" s="49"/>
      <c r="C4520" s="49"/>
      <c r="D4520" s="49"/>
      <c r="E4520" s="49" t="s">
        <v>515</v>
      </c>
      <c r="F4520" s="3" t="s">
        <v>684</v>
      </c>
      <c r="G4520" s="49">
        <f>G4466+50</f>
        <v>60</v>
      </c>
      <c r="H4520" s="50">
        <f>H4519+C4466</f>
        <v>381</v>
      </c>
      <c r="I4520" s="48">
        <f>G4497+10</f>
        <v>170</v>
      </c>
      <c r="J4520" s="48">
        <f>G4484+10</f>
        <v>370</v>
      </c>
      <c r="K4520" s="49">
        <f>K4503+10</f>
        <v>478</v>
      </c>
      <c r="L4520" s="49">
        <f>G4467+40</f>
        <v>690</v>
      </c>
      <c r="M4520" s="48">
        <f>G4498+10</f>
        <v>760</v>
      </c>
      <c r="N4520" s="48">
        <f>G4485+10</f>
        <v>1010</v>
      </c>
      <c r="O4520" s="49">
        <f>K4504+40</f>
        <v>1094</v>
      </c>
      <c r="P4520" s="49"/>
      <c r="Q4520" s="49"/>
      <c r="R4520" s="49"/>
      <c r="S4520" s="49"/>
      <c r="T4520" s="49"/>
    </row>
    <row r="4521" spans="1:38">
      <c r="A4521" s="49"/>
      <c r="B4521" s="49"/>
      <c r="C4521" s="49"/>
      <c r="D4521" s="49">
        <v>44</v>
      </c>
      <c r="E4521" s="49" t="s">
        <v>112</v>
      </c>
      <c r="F4521" s="49">
        <v>20</v>
      </c>
      <c r="G4521" s="49">
        <f>G4509+50</f>
        <v>790</v>
      </c>
      <c r="H4521" s="50">
        <f>P4500</f>
        <v>562</v>
      </c>
      <c r="I4521" s="50">
        <f>G4521</f>
        <v>790</v>
      </c>
      <c r="J4521" s="49">
        <f>T4500</f>
        <v>712</v>
      </c>
      <c r="K4521" s="49"/>
      <c r="L4521" s="49"/>
      <c r="M4521" s="49"/>
      <c r="N4521" s="49"/>
      <c r="O4521" s="49"/>
      <c r="P4521" s="49"/>
      <c r="Q4521" s="49"/>
      <c r="R4521" s="49"/>
      <c r="S4521" s="49"/>
      <c r="T4521" s="49"/>
    </row>
    <row r="4522" spans="1:38">
      <c r="A4522" s="49"/>
      <c r="B4522" s="49"/>
      <c r="C4522" s="49"/>
      <c r="D4522" s="49">
        <v>44</v>
      </c>
      <c r="E4522" s="49" t="s">
        <v>112</v>
      </c>
      <c r="F4522" s="49">
        <v>20</v>
      </c>
      <c r="G4522" s="49">
        <f>K4488-30</f>
        <v>1075</v>
      </c>
      <c r="H4522" s="50">
        <f>N4488</f>
        <v>517</v>
      </c>
      <c r="I4522" s="50">
        <f>G4522</f>
        <v>1075</v>
      </c>
      <c r="J4522" s="49">
        <f>R4488</f>
        <v>737</v>
      </c>
      <c r="K4522" s="49"/>
      <c r="L4522" s="49"/>
      <c r="M4522" s="49"/>
      <c r="N4522" s="49"/>
      <c r="O4522" s="49"/>
      <c r="P4522" s="49"/>
      <c r="Q4522" s="49"/>
      <c r="R4522" s="49"/>
      <c r="S4522" s="49"/>
      <c r="T4522" s="49"/>
    </row>
    <row r="4523" spans="1:38">
      <c r="A4523" s="49"/>
      <c r="B4523" s="49"/>
      <c r="C4523" s="49"/>
      <c r="D4523" s="49"/>
      <c r="E4523" s="3" t="s">
        <v>517</v>
      </c>
      <c r="F4523" s="3" t="s">
        <v>687</v>
      </c>
      <c r="G4523" s="49">
        <f>G4521+10</f>
        <v>800</v>
      </c>
      <c r="H4523" s="50">
        <f>H4521/2+J4521/2-30</f>
        <v>607</v>
      </c>
      <c r="I4523" s="50">
        <f>H4523+30</f>
        <v>637</v>
      </c>
      <c r="J4523" s="49"/>
      <c r="K4523" s="49"/>
      <c r="L4523" s="49"/>
      <c r="M4523" s="49"/>
      <c r="N4523" s="49"/>
      <c r="O4523" s="49"/>
      <c r="P4523" s="49"/>
      <c r="Q4523" s="49"/>
      <c r="R4523" s="49"/>
      <c r="S4523" s="49"/>
      <c r="T4523" s="49"/>
    </row>
    <row r="4524" spans="1:38">
      <c r="A4524" s="49"/>
      <c r="B4524" s="49"/>
      <c r="C4524" s="49"/>
      <c r="D4524" s="49"/>
      <c r="E4524" s="3" t="s">
        <v>517</v>
      </c>
      <c r="F4524" s="3" t="s">
        <v>688</v>
      </c>
      <c r="G4524" s="49">
        <f>G4522+10</f>
        <v>1085</v>
      </c>
      <c r="H4524" s="50">
        <f>H4522/2+J4522/2+10</f>
        <v>637</v>
      </c>
      <c r="I4524" s="50">
        <f>H4524+30</f>
        <v>667</v>
      </c>
      <c r="J4524" s="49"/>
      <c r="K4524" s="49"/>
      <c r="L4524" s="49"/>
      <c r="M4524" s="49"/>
      <c r="N4524" s="49"/>
      <c r="O4524" s="49"/>
      <c r="P4524" s="49"/>
      <c r="Q4524" s="49"/>
      <c r="R4524" s="49"/>
      <c r="S4524" s="49"/>
      <c r="T4524" s="49"/>
    </row>
    <row r="4528" spans="1:38">
      <c r="A4528" s="61" t="s">
        <v>383</v>
      </c>
      <c r="B4528" s="1" t="s">
        <v>709</v>
      </c>
      <c r="C4528" s="48"/>
      <c r="D4528" s="48" t="s">
        <v>449</v>
      </c>
      <c r="E4528" s="48">
        <v>52695</v>
      </c>
      <c r="F4528" s="6">
        <v>39622</v>
      </c>
      <c r="G4528" s="50">
        <v>0</v>
      </c>
      <c r="H4528" s="6">
        <v>0</v>
      </c>
      <c r="I4528" s="6">
        <v>0</v>
      </c>
      <c r="J4528" s="6">
        <v>1220</v>
      </c>
      <c r="K4528" s="6">
        <v>640</v>
      </c>
      <c r="L4528" s="6">
        <v>192</v>
      </c>
      <c r="M4528" s="6">
        <v>0</v>
      </c>
      <c r="N4528" s="6">
        <v>0</v>
      </c>
      <c r="O4528" s="6" t="e">
        <f ca="1">checksummeint(G4528,H4528,I4528,J4528,K4528,L4528,M4528,N4528)</f>
        <v>#NAME?</v>
      </c>
      <c r="P4528" s="49"/>
      <c r="Q4528" s="48"/>
      <c r="R4528" s="48"/>
      <c r="S4528" s="48"/>
      <c r="T4528" s="48"/>
      <c r="U4528" s="48"/>
      <c r="V4528" s="48"/>
      <c r="W4528" s="49"/>
      <c r="X4528" s="49"/>
      <c r="Y4528" s="49"/>
      <c r="Z4528" s="49"/>
      <c r="AA4528" s="49"/>
      <c r="AB4528" s="49"/>
      <c r="AC4528" s="49"/>
      <c r="AD4528" s="49"/>
      <c r="AE4528" s="49"/>
      <c r="AF4528" s="49"/>
      <c r="AG4528" s="49"/>
      <c r="AH4528" s="49"/>
      <c r="AI4528" s="49"/>
      <c r="AJ4528" s="49"/>
      <c r="AK4528" s="49"/>
      <c r="AL4528" s="49"/>
    </row>
    <row r="4529" spans="1:38">
      <c r="A4529" s="48" t="s">
        <v>663</v>
      </c>
      <c r="B4529" s="48"/>
      <c r="C4529" s="48">
        <v>0</v>
      </c>
      <c r="D4529" s="48">
        <v>28</v>
      </c>
      <c r="E4529" s="48" t="s">
        <v>12</v>
      </c>
      <c r="F4529" s="6">
        <v>36</v>
      </c>
      <c r="G4529" s="50">
        <v>0</v>
      </c>
      <c r="H4529" s="6">
        <v>0</v>
      </c>
      <c r="I4529" s="6">
        <v>0</v>
      </c>
      <c r="J4529" s="6">
        <v>400</v>
      </c>
      <c r="K4529" s="6">
        <v>0</v>
      </c>
      <c r="L4529" s="6">
        <v>0</v>
      </c>
      <c r="M4529" s="6">
        <v>0</v>
      </c>
      <c r="N4529" s="6">
        <v>0</v>
      </c>
      <c r="O4529" s="6" t="s">
        <v>19</v>
      </c>
      <c r="P4529" s="49"/>
      <c r="Q4529" s="48"/>
      <c r="R4529" s="48"/>
      <c r="S4529" s="48"/>
      <c r="T4529" s="48"/>
      <c r="U4529" s="48"/>
      <c r="V4529" s="48"/>
      <c r="W4529" s="49"/>
      <c r="X4529" s="49"/>
      <c r="Y4529" s="49"/>
      <c r="Z4529" s="49"/>
      <c r="AA4529" s="49"/>
      <c r="AB4529" s="49"/>
      <c r="AC4529" s="49"/>
      <c r="AD4529" s="49"/>
      <c r="AE4529" s="49"/>
      <c r="AF4529" s="49"/>
      <c r="AG4529" s="49"/>
      <c r="AH4529" s="49"/>
      <c r="AI4529" s="49"/>
      <c r="AJ4529" s="49"/>
      <c r="AK4529" s="49"/>
      <c r="AL4529" s="49"/>
    </row>
    <row r="4530" spans="1:38">
      <c r="A4530" s="60" t="s">
        <v>813</v>
      </c>
      <c r="B4530" s="48"/>
      <c r="C4530" s="48">
        <v>1</v>
      </c>
      <c r="D4530" s="48">
        <v>8</v>
      </c>
      <c r="E4530" s="48" t="s">
        <v>14</v>
      </c>
      <c r="F4530" s="6">
        <v>0</v>
      </c>
      <c r="G4530" s="50">
        <v>2</v>
      </c>
      <c r="H4530" s="6">
        <v>0</v>
      </c>
      <c r="I4530" s="6">
        <v>0</v>
      </c>
      <c r="J4530" s="6">
        <v>0</v>
      </c>
      <c r="M4530" s="44"/>
      <c r="P4530" s="49"/>
      <c r="Q4530" s="48"/>
      <c r="R4530" s="48"/>
      <c r="S4530" s="48"/>
      <c r="T4530" s="48"/>
      <c r="U4530" s="48"/>
      <c r="V4530" s="48"/>
      <c r="W4530" s="49"/>
      <c r="X4530" s="49"/>
      <c r="Y4530" s="49"/>
      <c r="Z4530" s="49"/>
      <c r="AA4530" s="49"/>
      <c r="AB4530" s="49"/>
      <c r="AC4530" s="49"/>
      <c r="AD4530" s="49"/>
      <c r="AE4530" s="49"/>
      <c r="AF4530" s="49"/>
      <c r="AG4530" s="49"/>
      <c r="AH4530" s="49"/>
      <c r="AI4530" s="49"/>
      <c r="AJ4530" s="49"/>
      <c r="AK4530" s="49"/>
      <c r="AL4530" s="49"/>
    </row>
    <row r="4531" spans="1:38">
      <c r="A4531" s="48"/>
      <c r="B4531" s="48"/>
      <c r="C4531" s="48">
        <v>2</v>
      </c>
      <c r="D4531" s="48">
        <v>7</v>
      </c>
      <c r="E4531" s="48" t="s">
        <v>11</v>
      </c>
      <c r="F4531" s="6">
        <v>0</v>
      </c>
      <c r="G4531" s="50">
        <v>-64</v>
      </c>
      <c r="H4531" s="50">
        <v>192</v>
      </c>
      <c r="I4531" s="6">
        <v>0</v>
      </c>
      <c r="N4531" s="50"/>
      <c r="P4531" s="49"/>
      <c r="Q4531" s="48"/>
      <c r="R4531" s="48"/>
      <c r="S4531" s="48"/>
      <c r="T4531" s="48"/>
      <c r="U4531" s="48"/>
      <c r="V4531" s="48"/>
      <c r="W4531" s="49"/>
      <c r="X4531" s="49"/>
      <c r="Y4531" s="49"/>
      <c r="Z4531" s="49"/>
      <c r="AA4531" s="49"/>
      <c r="AB4531" s="49"/>
      <c r="AC4531" s="49"/>
      <c r="AD4531" s="49"/>
      <c r="AE4531" s="49"/>
      <c r="AF4531" s="49"/>
      <c r="AG4531" s="49"/>
      <c r="AH4531" s="49"/>
      <c r="AI4531" s="49"/>
      <c r="AJ4531" s="49"/>
      <c r="AK4531" s="49"/>
      <c r="AL4531" s="49"/>
    </row>
    <row r="4532" spans="1:38">
      <c r="A4532" s="48"/>
      <c r="B4532" s="48"/>
      <c r="C4532" s="48">
        <v>3</v>
      </c>
      <c r="D4532" s="48">
        <v>7</v>
      </c>
      <c r="E4532" s="48" t="s">
        <v>11</v>
      </c>
      <c r="F4532" s="6">
        <v>0</v>
      </c>
      <c r="G4532" s="50">
        <v>0</v>
      </c>
      <c r="H4532" s="50">
        <v>0</v>
      </c>
      <c r="I4532" s="6">
        <v>0</v>
      </c>
      <c r="P4532" s="48"/>
      <c r="Q4532" s="48"/>
      <c r="R4532" s="48"/>
      <c r="S4532" s="48"/>
      <c r="T4532" s="48"/>
      <c r="U4532" s="48"/>
      <c r="V4532" s="48"/>
      <c r="W4532" s="49"/>
      <c r="X4532" s="49"/>
      <c r="Y4532" s="49"/>
      <c r="Z4532" s="49"/>
      <c r="AA4532" s="49"/>
      <c r="AB4532" s="49"/>
      <c r="AC4532" s="49"/>
      <c r="AD4532" s="49"/>
      <c r="AE4532" s="49"/>
      <c r="AF4532" s="49"/>
      <c r="AG4532" s="49"/>
      <c r="AH4532" s="49"/>
      <c r="AI4532" s="49"/>
      <c r="AJ4532" s="49"/>
      <c r="AK4532" s="49"/>
      <c r="AL4532" s="49"/>
    </row>
    <row r="4533" spans="1:38">
      <c r="A4533" s="48"/>
      <c r="B4533" s="48"/>
      <c r="C4533" s="48">
        <v>4</v>
      </c>
      <c r="D4533" s="48">
        <v>28</v>
      </c>
      <c r="E4533" s="48" t="s">
        <v>12</v>
      </c>
      <c r="F4533" s="6">
        <v>25</v>
      </c>
      <c r="G4533" s="50">
        <v>0</v>
      </c>
      <c r="H4533" s="6">
        <v>0</v>
      </c>
      <c r="I4533" s="6">
        <v>0</v>
      </c>
      <c r="J4533" s="6">
        <v>400</v>
      </c>
      <c r="K4533" s="6">
        <v>0</v>
      </c>
      <c r="L4533" s="6">
        <v>0</v>
      </c>
      <c r="M4533" s="6">
        <v>0</v>
      </c>
      <c r="N4533" s="6">
        <v>0</v>
      </c>
      <c r="O4533" s="6" t="s">
        <v>19</v>
      </c>
      <c r="P4533" s="48"/>
      <c r="Q4533" s="48"/>
      <c r="R4533" s="48"/>
      <c r="S4533" s="48"/>
      <c r="T4533" s="48"/>
      <c r="U4533" s="48"/>
      <c r="V4533" s="48"/>
      <c r="W4533" s="49"/>
      <c r="X4533" s="49"/>
      <c r="Y4533" s="49"/>
      <c r="Z4533" s="49"/>
      <c r="AA4533" s="49"/>
      <c r="AB4533" s="49"/>
      <c r="AC4533" s="49"/>
      <c r="AD4533" s="49"/>
      <c r="AE4533" s="49"/>
      <c r="AF4533" s="49"/>
      <c r="AG4533" s="49"/>
      <c r="AH4533" s="49"/>
      <c r="AI4533" s="49"/>
      <c r="AJ4533" s="49"/>
      <c r="AK4533" s="49"/>
      <c r="AL4533" s="49"/>
    </row>
    <row r="4534" spans="1:38">
      <c r="A4534" s="48"/>
      <c r="B4534" s="48"/>
      <c r="C4534" s="48">
        <v>5</v>
      </c>
      <c r="D4534" s="48">
        <v>7</v>
      </c>
      <c r="E4534" s="48" t="s">
        <v>11</v>
      </c>
      <c r="F4534" s="6">
        <v>0</v>
      </c>
      <c r="G4534" s="50">
        <f>257*240</f>
        <v>61680</v>
      </c>
      <c r="H4534" s="50">
        <v>240</v>
      </c>
      <c r="I4534" s="6">
        <v>0</v>
      </c>
      <c r="P4534" s="48"/>
      <c r="Q4534" s="48"/>
      <c r="R4534" s="48"/>
      <c r="S4534" s="48"/>
      <c r="T4534" s="48"/>
      <c r="U4534" s="48"/>
      <c r="V4534" s="48"/>
      <c r="W4534" s="49"/>
      <c r="X4534" s="49"/>
      <c r="Y4534" s="49"/>
      <c r="Z4534" s="49"/>
      <c r="AA4534" s="49"/>
      <c r="AB4534" s="49"/>
      <c r="AC4534" s="49"/>
      <c r="AD4534" s="49"/>
      <c r="AE4534" s="49"/>
      <c r="AF4534" s="49"/>
      <c r="AG4534" s="49"/>
      <c r="AH4534" s="49"/>
      <c r="AI4534" s="49"/>
      <c r="AJ4534" s="49"/>
      <c r="AK4534" s="49"/>
      <c r="AL4534" s="49"/>
    </row>
    <row r="4535" spans="1:38">
      <c r="A4535" s="48"/>
      <c r="B4535" s="48"/>
      <c r="C4535" s="48">
        <v>6</v>
      </c>
      <c r="D4535" s="48">
        <v>8</v>
      </c>
      <c r="E4535" s="48" t="s">
        <v>14</v>
      </c>
      <c r="F4535" s="6">
        <v>0</v>
      </c>
      <c r="G4535" s="50">
        <v>10</v>
      </c>
      <c r="H4535" s="6">
        <v>0</v>
      </c>
      <c r="I4535" s="6">
        <f>G4534</f>
        <v>61680</v>
      </c>
      <c r="J4535" s="6">
        <f>H4534</f>
        <v>240</v>
      </c>
      <c r="P4535" s="48"/>
      <c r="Q4535" s="48"/>
      <c r="R4535" s="48"/>
      <c r="S4535" s="48"/>
      <c r="T4535" s="48"/>
      <c r="U4535" s="48"/>
      <c r="V4535" s="48"/>
      <c r="W4535" s="49"/>
      <c r="X4535" s="49"/>
      <c r="Y4535" s="49"/>
      <c r="Z4535" s="49"/>
      <c r="AA4535" s="49"/>
      <c r="AB4535" s="49"/>
      <c r="AC4535" s="49"/>
      <c r="AD4535" s="49"/>
      <c r="AE4535" s="49"/>
      <c r="AF4535" s="49"/>
      <c r="AG4535" s="49"/>
      <c r="AH4535" s="49"/>
      <c r="AI4535" s="49"/>
      <c r="AJ4535" s="49"/>
      <c r="AK4535" s="49"/>
      <c r="AL4535" s="49"/>
    </row>
    <row r="4536" spans="1:38">
      <c r="A4536" s="48"/>
      <c r="B4536" s="48"/>
      <c r="C4536" s="48"/>
      <c r="D4536" s="48">
        <v>5</v>
      </c>
      <c r="E4536" s="48" t="s">
        <v>59</v>
      </c>
      <c r="F4536" s="6">
        <v>1</v>
      </c>
      <c r="G4536" s="50">
        <v>0</v>
      </c>
      <c r="P4536" s="48"/>
      <c r="Q4536" s="48"/>
      <c r="R4536" s="48"/>
      <c r="S4536" s="48"/>
      <c r="T4536" s="48"/>
      <c r="U4536" s="48"/>
      <c r="V4536" s="48"/>
      <c r="W4536" s="49"/>
      <c r="X4536" s="49"/>
      <c r="Y4536" s="49"/>
      <c r="Z4536" s="49"/>
      <c r="AA4536" s="49"/>
      <c r="AB4536" s="49"/>
      <c r="AC4536" s="49"/>
      <c r="AD4536" s="49"/>
      <c r="AE4536" s="49"/>
      <c r="AF4536" s="49"/>
      <c r="AG4536" s="49"/>
      <c r="AH4536" s="49"/>
      <c r="AI4536" s="49"/>
      <c r="AJ4536" s="49"/>
      <c r="AK4536" s="49"/>
      <c r="AL4536" s="49"/>
    </row>
    <row r="4537" spans="1:38">
      <c r="A4537" s="48"/>
      <c r="B4537" s="48"/>
      <c r="C4537" s="49"/>
      <c r="D4537" s="48">
        <v>4</v>
      </c>
      <c r="E4537" s="48" t="s">
        <v>15</v>
      </c>
      <c r="F4537" s="6">
        <v>5</v>
      </c>
      <c r="G4537" s="49"/>
      <c r="H4537" s="49"/>
      <c r="I4537" s="49"/>
      <c r="J4537" s="49"/>
      <c r="K4537" s="49"/>
      <c r="L4537" s="49"/>
      <c r="P4537" s="48"/>
      <c r="Q4537" s="48"/>
      <c r="R4537" s="48"/>
      <c r="S4537" s="48"/>
      <c r="T4537" s="48"/>
      <c r="U4537" s="48"/>
      <c r="V4537" s="48"/>
      <c r="W4537" s="49"/>
      <c r="X4537" s="49"/>
      <c r="Y4537" s="49"/>
      <c r="Z4537" s="49"/>
      <c r="AA4537" s="49"/>
      <c r="AB4537" s="49"/>
      <c r="AC4537" s="49"/>
      <c r="AD4537" s="49"/>
      <c r="AE4537" s="49"/>
      <c r="AF4537" s="49"/>
      <c r="AG4537" s="49"/>
      <c r="AH4537" s="49"/>
      <c r="AI4537" s="49"/>
      <c r="AJ4537" s="49"/>
      <c r="AK4537" s="49"/>
      <c r="AL4537" s="49"/>
    </row>
    <row r="4538" spans="1:38">
      <c r="A4538" s="48"/>
      <c r="B4538" s="48"/>
      <c r="C4538" s="49"/>
      <c r="D4538" s="48">
        <v>4</v>
      </c>
      <c r="E4538" s="48" t="s">
        <v>15</v>
      </c>
      <c r="F4538" s="6">
        <v>6</v>
      </c>
      <c r="G4538" s="49"/>
      <c r="H4538" s="49"/>
      <c r="I4538" s="49"/>
      <c r="J4538" s="49"/>
      <c r="K4538" s="49"/>
      <c r="L4538" s="49"/>
      <c r="P4538" s="48"/>
      <c r="Q4538" s="48"/>
      <c r="R4538" s="48"/>
      <c r="S4538" s="48"/>
      <c r="T4538" s="48"/>
      <c r="U4538" s="48"/>
      <c r="V4538" s="48"/>
      <c r="W4538" s="49"/>
      <c r="X4538" s="49"/>
      <c r="Y4538" s="49"/>
      <c r="Z4538" s="49"/>
      <c r="AA4538" s="49"/>
      <c r="AB4538" s="49"/>
      <c r="AC4538" s="49"/>
      <c r="AD4538" s="49"/>
      <c r="AE4538" s="49"/>
      <c r="AF4538" s="49"/>
      <c r="AG4538" s="49"/>
      <c r="AH4538" s="49"/>
      <c r="AI4538" s="49"/>
      <c r="AJ4538" s="49"/>
      <c r="AK4538" s="49"/>
      <c r="AL4538" s="49"/>
    </row>
    <row r="4539" spans="1:38">
      <c r="A4539" s="48"/>
      <c r="B4539" s="48"/>
      <c r="C4539" s="49">
        <v>0.89</v>
      </c>
      <c r="D4539" s="49">
        <v>18</v>
      </c>
      <c r="E4539" s="49" t="s">
        <v>111</v>
      </c>
      <c r="F4539" s="49">
        <v>50</v>
      </c>
      <c r="G4539" s="49">
        <f>G4552+0*(I4552-G4552)/AL4552</f>
        <v>350</v>
      </c>
      <c r="H4539" s="49">
        <f>H4552+(R4553-Q4553)*(J4552-H4552)/(AC4553-Q4553)</f>
        <v>460.78431372549016</v>
      </c>
      <c r="I4539" s="49">
        <f>G4539-C4539*(G4539-K4539)</f>
        <v>154.19999999999999</v>
      </c>
      <c r="J4539" s="49">
        <f>H4539-C4539*(H4539-L4539)</f>
        <v>531.28627450980389</v>
      </c>
      <c r="K4539" s="50">
        <f>(G4557+I4557)/2</f>
        <v>130</v>
      </c>
      <c r="L4539" s="50">
        <f>(H4557+J4557)/2</f>
        <v>540</v>
      </c>
      <c r="P4539" s="48"/>
      <c r="Q4539" s="48"/>
      <c r="R4539" s="48"/>
      <c r="S4539" s="48"/>
      <c r="T4539" s="48"/>
      <c r="U4539" s="48"/>
      <c r="V4539" s="48"/>
      <c r="W4539" s="49"/>
      <c r="X4539" s="49"/>
      <c r="Y4539" s="49"/>
      <c r="Z4539" s="49"/>
      <c r="AA4539" s="49"/>
      <c r="AB4539" s="49"/>
      <c r="AC4539" s="49"/>
      <c r="AD4539" s="49"/>
      <c r="AE4539" s="49"/>
      <c r="AF4539" s="49"/>
      <c r="AG4539" s="49"/>
      <c r="AH4539" s="49"/>
      <c r="AI4539" s="49"/>
      <c r="AJ4539" s="49"/>
      <c r="AK4539" s="49"/>
      <c r="AL4539" s="49"/>
    </row>
    <row r="4540" spans="1:38">
      <c r="A4540" s="48"/>
      <c r="B4540" s="48"/>
      <c r="C4540" s="49">
        <v>0.89</v>
      </c>
      <c r="D4540" s="49">
        <v>18</v>
      </c>
      <c r="E4540" s="49" t="s">
        <v>111</v>
      </c>
      <c r="F4540" s="49">
        <f>F4539</f>
        <v>50</v>
      </c>
      <c r="G4540" s="49">
        <f>G4552+2*(I4552-G4552)/AL4552</f>
        <v>400</v>
      </c>
      <c r="H4540" s="49">
        <f>H4552+(T4553-Q4553)*(J4552-H4552)/(AC4553-Q4553)</f>
        <v>408.40958605664491</v>
      </c>
      <c r="I4540" s="49">
        <f t="shared" ref="I4540:I4548" si="343">G4540-C4540*(G4540-K4540)</f>
        <v>121.43</v>
      </c>
      <c r="J4540" s="49">
        <f t="shared" ref="J4540:J4548" si="344">H4540-C4540*(H4540-L4540)</f>
        <v>383.12505446623095</v>
      </c>
      <c r="K4540" s="50">
        <f>(G4560+I4560)/2</f>
        <v>87</v>
      </c>
      <c r="L4540" s="50">
        <f>(H4560+J4560)/2</f>
        <v>380</v>
      </c>
      <c r="P4540" s="48"/>
      <c r="Q4540" s="48"/>
      <c r="R4540" s="48"/>
      <c r="S4540" s="48"/>
      <c r="T4540" s="48"/>
      <c r="U4540" s="48"/>
      <c r="V4540" s="48"/>
      <c r="W4540" s="49"/>
      <c r="X4540" s="49"/>
      <c r="Y4540" s="49"/>
      <c r="Z4540" s="49"/>
      <c r="AA4540" s="49"/>
      <c r="AB4540" s="49"/>
      <c r="AC4540" s="49"/>
      <c r="AD4540" s="49"/>
      <c r="AE4540" s="49"/>
      <c r="AF4540" s="49"/>
      <c r="AG4540" s="49"/>
      <c r="AH4540" s="49"/>
      <c r="AI4540" s="49"/>
      <c r="AJ4540" s="49"/>
      <c r="AK4540" s="49"/>
      <c r="AL4540" s="49"/>
    </row>
    <row r="4541" spans="1:38">
      <c r="A4541" s="48"/>
      <c r="B4541" s="48"/>
      <c r="C4541" s="49">
        <v>0.85</v>
      </c>
      <c r="D4541" s="49">
        <v>18</v>
      </c>
      <c r="E4541" s="49" t="s">
        <v>111</v>
      </c>
      <c r="F4541" s="49">
        <f t="shared" ref="F4541:F4548" si="345">F4540</f>
        <v>50</v>
      </c>
      <c r="G4541" s="49">
        <f>G4552+5*(I4552-G4552)/AL4552</f>
        <v>475</v>
      </c>
      <c r="H4541" s="49">
        <f>H4552+(W4553-Q4553)*(J4552-H4552)/(AC4553-Q4553)</f>
        <v>349.15032679738562</v>
      </c>
      <c r="I4541" s="49">
        <f t="shared" si="343"/>
        <v>213.625</v>
      </c>
      <c r="J4541" s="49">
        <f t="shared" si="344"/>
        <v>203.24754901960785</v>
      </c>
      <c r="K4541" s="50">
        <f>(G4563+I4563)/2</f>
        <v>167.5</v>
      </c>
      <c r="L4541" s="50">
        <f>(H4563+J4563)/2</f>
        <v>177.5</v>
      </c>
      <c r="P4541" s="48"/>
      <c r="Q4541" s="48"/>
      <c r="R4541" s="48"/>
      <c r="S4541" s="48"/>
      <c r="T4541" s="48"/>
      <c r="U4541" s="48"/>
      <c r="V4541" s="48"/>
      <c r="W4541" s="49"/>
      <c r="X4541" s="49"/>
      <c r="Y4541" s="49"/>
      <c r="Z4541" s="49"/>
      <c r="AA4541" s="49"/>
      <c r="AB4541" s="49"/>
      <c r="AC4541" s="49"/>
      <c r="AD4541" s="49"/>
      <c r="AE4541" s="49"/>
      <c r="AF4541" s="49"/>
      <c r="AG4541" s="49"/>
      <c r="AH4541" s="49"/>
      <c r="AI4541" s="49"/>
      <c r="AJ4541" s="49"/>
      <c r="AK4541" s="49"/>
      <c r="AL4541" s="49"/>
    </row>
    <row r="4542" spans="1:38">
      <c r="A4542" s="48"/>
      <c r="B4542" s="48"/>
      <c r="C4542" s="49">
        <v>0.82</v>
      </c>
      <c r="D4542" s="49">
        <v>18</v>
      </c>
      <c r="E4542" s="49" t="s">
        <v>111</v>
      </c>
      <c r="F4542" s="49">
        <f t="shared" si="345"/>
        <v>50</v>
      </c>
      <c r="G4542" s="49">
        <f>G4552+8*(I4552-G4552)/AL4552</f>
        <v>550</v>
      </c>
      <c r="H4542" s="49">
        <f>H4552+(Z4553-Q4553)*(J4552-H4552)/(AC4553-Q4553)</f>
        <v>312.98474945533769</v>
      </c>
      <c r="I4542" s="49">
        <f t="shared" si="343"/>
        <v>376.15999999999997</v>
      </c>
      <c r="J4542" s="49">
        <f t="shared" si="344"/>
        <v>133.4172549019608</v>
      </c>
      <c r="K4542" s="50">
        <f>(G4566+I4566)/2</f>
        <v>338</v>
      </c>
      <c r="L4542" s="50">
        <f>(H4566+J4566)/2</f>
        <v>94</v>
      </c>
      <c r="P4542" s="48"/>
      <c r="Q4542" s="48"/>
      <c r="R4542" s="48"/>
      <c r="S4542" s="48"/>
      <c r="T4542" s="48"/>
      <c r="U4542" s="48"/>
      <c r="V4542" s="48"/>
      <c r="W4542" s="49"/>
      <c r="X4542" s="49"/>
      <c r="Y4542" s="49"/>
      <c r="Z4542" s="49"/>
      <c r="AA4542" s="49"/>
      <c r="AB4542" s="49"/>
      <c r="AC4542" s="49"/>
      <c r="AD4542" s="49"/>
      <c r="AE4542" s="49"/>
      <c r="AF4542" s="49"/>
      <c r="AG4542" s="49"/>
      <c r="AH4542" s="49"/>
      <c r="AI4542" s="49"/>
      <c r="AJ4542" s="49"/>
      <c r="AK4542" s="49"/>
      <c r="AL4542" s="49"/>
    </row>
    <row r="4543" spans="1:38">
      <c r="A4543" s="48"/>
      <c r="B4543" s="48"/>
      <c r="C4543" s="49">
        <v>0.84</v>
      </c>
      <c r="D4543" s="49">
        <v>18</v>
      </c>
      <c r="E4543" s="49" t="s">
        <v>111</v>
      </c>
      <c r="F4543" s="49">
        <f t="shared" si="345"/>
        <v>50</v>
      </c>
      <c r="G4543" s="49">
        <f>G4552+10*(I4552-G4552)/AL4552</f>
        <v>600</v>
      </c>
      <c r="H4543" s="49">
        <f>H4552+(AB4553-Q4553)*(J4552-H4552)/(AC4553-Q4553)</f>
        <v>301.74291938997823</v>
      </c>
      <c r="I4543" s="49">
        <f t="shared" si="343"/>
        <v>553.79999999999995</v>
      </c>
      <c r="J4543" s="49">
        <f t="shared" si="344"/>
        <v>98.678867102396538</v>
      </c>
      <c r="K4543" s="50">
        <f>(G4569+I4569)/2</f>
        <v>545</v>
      </c>
      <c r="L4543" s="50">
        <f>(H4569+J4569)/2</f>
        <v>60</v>
      </c>
      <c r="P4543" s="48"/>
      <c r="Q4543" s="48"/>
      <c r="R4543" s="48"/>
      <c r="S4543" s="48"/>
      <c r="T4543" s="48"/>
      <c r="U4543" s="48"/>
      <c r="V4543" s="48"/>
      <c r="W4543" s="49"/>
      <c r="X4543" s="49"/>
      <c r="Y4543" s="49"/>
      <c r="Z4543" s="49"/>
      <c r="AA4543" s="49"/>
      <c r="AB4543" s="49"/>
      <c r="AC4543" s="49"/>
      <c r="AD4543" s="49"/>
      <c r="AE4543" s="49"/>
      <c r="AF4543" s="49"/>
      <c r="AG4543" s="49"/>
      <c r="AH4543" s="49"/>
      <c r="AI4543" s="49"/>
      <c r="AJ4543" s="49"/>
      <c r="AK4543" s="49"/>
      <c r="AL4543" s="49"/>
    </row>
    <row r="4544" spans="1:38">
      <c r="A4544" s="48"/>
      <c r="B4544" s="48"/>
      <c r="C4544" s="49">
        <v>0.84</v>
      </c>
      <c r="D4544" s="49">
        <v>18</v>
      </c>
      <c r="E4544" s="49" t="s">
        <v>111</v>
      </c>
      <c r="F4544" s="49">
        <f t="shared" si="345"/>
        <v>50</v>
      </c>
      <c r="G4544" s="49">
        <f>G4552+11*(I4552-G4552)/AL4552</f>
        <v>625</v>
      </c>
      <c r="H4544" s="49">
        <f>H4552+(AC4553-Q4553)*(J4552-H4552)/(AC4553-Q4553)</f>
        <v>300</v>
      </c>
      <c r="I4544" s="49">
        <f t="shared" si="343"/>
        <v>745.54</v>
      </c>
      <c r="J4544" s="49">
        <f t="shared" si="344"/>
        <v>114.78</v>
      </c>
      <c r="K4544" s="50">
        <f>(G4572+I4572)/2</f>
        <v>768.5</v>
      </c>
      <c r="L4544" s="50">
        <f>(H4572+J4572)/2</f>
        <v>79.5</v>
      </c>
      <c r="P4544" s="48"/>
      <c r="Q4544" s="48"/>
      <c r="R4544" s="48"/>
      <c r="S4544" s="48"/>
      <c r="T4544" s="48"/>
      <c r="U4544" s="48"/>
      <c r="V4544" s="48"/>
      <c r="W4544" s="49"/>
      <c r="X4544" s="49"/>
      <c r="Y4544" s="49"/>
      <c r="Z4544" s="49"/>
      <c r="AA4544" s="49"/>
      <c r="AB4544" s="49"/>
      <c r="AC4544" s="49"/>
      <c r="AD4544" s="49"/>
      <c r="AE4544" s="49"/>
      <c r="AF4544" s="49"/>
      <c r="AG4544" s="49"/>
      <c r="AH4544" s="49"/>
      <c r="AI4544" s="49"/>
      <c r="AJ4544" s="49"/>
      <c r="AK4544" s="49"/>
      <c r="AL4544" s="49"/>
    </row>
    <row r="4545" spans="1:38">
      <c r="A4545" s="48"/>
      <c r="B4545" s="48"/>
      <c r="C4545" s="49">
        <v>0.82</v>
      </c>
      <c r="D4545" s="49">
        <v>18</v>
      </c>
      <c r="E4545" s="49" t="s">
        <v>111</v>
      </c>
      <c r="F4545" s="49">
        <f t="shared" si="345"/>
        <v>50</v>
      </c>
      <c r="G4545" s="49">
        <f>G4552+14*(I4552-G4552)/AL4552</f>
        <v>700</v>
      </c>
      <c r="H4545" s="49">
        <f>H4552+(AF4553-Q4553)*(J4552-H4552)/(AC4553-Q4553)</f>
        <v>310.10893246187368</v>
      </c>
      <c r="I4545" s="49">
        <f t="shared" si="343"/>
        <v>945.18</v>
      </c>
      <c r="J4545" s="49">
        <f t="shared" si="344"/>
        <v>182.09960784313728</v>
      </c>
      <c r="K4545" s="50">
        <f>(G4575+I4575)/2</f>
        <v>999</v>
      </c>
      <c r="L4545" s="50">
        <f>(H4575+J4575)/2</f>
        <v>154</v>
      </c>
      <c r="P4545" s="48"/>
      <c r="Q4545" s="48"/>
      <c r="R4545" s="48"/>
      <c r="S4545" s="48"/>
      <c r="T4545" s="48"/>
      <c r="U4545" s="48"/>
      <c r="V4545" s="48"/>
      <c r="W4545" s="49"/>
      <c r="X4545" s="49"/>
      <c r="Y4545" s="49"/>
      <c r="Z4545" s="49"/>
      <c r="AA4545" s="49"/>
      <c r="AB4545" s="49"/>
      <c r="AC4545" s="49"/>
      <c r="AD4545" s="49"/>
      <c r="AE4545" s="49"/>
      <c r="AF4545" s="49"/>
      <c r="AG4545" s="49"/>
      <c r="AH4545" s="49"/>
      <c r="AI4545" s="49"/>
      <c r="AJ4545" s="49"/>
      <c r="AK4545" s="49"/>
      <c r="AL4545" s="49"/>
    </row>
    <row r="4546" spans="1:38">
      <c r="A4546" s="48"/>
      <c r="B4546" s="48"/>
      <c r="C4546" s="49">
        <v>0.84</v>
      </c>
      <c r="D4546" s="49">
        <v>18</v>
      </c>
      <c r="E4546" s="49" t="s">
        <v>111</v>
      </c>
      <c r="F4546" s="49">
        <f t="shared" si="345"/>
        <v>50</v>
      </c>
      <c r="G4546" s="49">
        <f>G4552+15*(I4552-G4552)/AL4552</f>
        <v>725</v>
      </c>
      <c r="H4546" s="49">
        <f>H4552+(AG4553-Q4553)*(J4552-H4552)/(AC4553-Q4553)</f>
        <v>318.64923747276691</v>
      </c>
      <c r="I4546" s="49">
        <f t="shared" si="343"/>
        <v>1025.3</v>
      </c>
      <c r="J4546" s="49">
        <f t="shared" si="344"/>
        <v>292.48387799564273</v>
      </c>
      <c r="K4546" s="50">
        <f>(G4578+I4578)/2</f>
        <v>1082.5</v>
      </c>
      <c r="L4546" s="50">
        <f>(H4578+J4578)/2</f>
        <v>287.5</v>
      </c>
      <c r="P4546" s="48"/>
      <c r="Q4546" s="48"/>
      <c r="R4546" s="48"/>
      <c r="S4546" s="48"/>
      <c r="T4546" s="48"/>
      <c r="U4546" s="48"/>
      <c r="V4546" s="48"/>
      <c r="W4546" s="49"/>
      <c r="X4546" s="49"/>
      <c r="Y4546" s="49"/>
      <c r="Z4546" s="49"/>
      <c r="AA4546" s="49"/>
      <c r="AB4546" s="49"/>
      <c r="AC4546" s="49"/>
      <c r="AD4546" s="49"/>
      <c r="AE4546" s="49"/>
      <c r="AF4546" s="49"/>
      <c r="AG4546" s="49"/>
      <c r="AH4546" s="49"/>
      <c r="AI4546" s="49"/>
      <c r="AJ4546" s="49"/>
      <c r="AK4546" s="49"/>
      <c r="AL4546" s="49"/>
    </row>
    <row r="4547" spans="1:38">
      <c r="A4547" s="48"/>
      <c r="B4547" s="48"/>
      <c r="C4547" s="49">
        <v>0.84</v>
      </c>
      <c r="D4547" s="49">
        <v>18</v>
      </c>
      <c r="E4547" s="49" t="s">
        <v>111</v>
      </c>
      <c r="F4547" s="49">
        <f t="shared" si="345"/>
        <v>50</v>
      </c>
      <c r="G4547" s="49">
        <f>G4552+18*(I4552-G4552)/AL4552</f>
        <v>800</v>
      </c>
      <c r="H4547" s="49">
        <f>H4552+(AJ4553-Q4553)*(J4552-H4552)/(AC4553-Q4553)</f>
        <v>359.60784313725492</v>
      </c>
      <c r="I4547" s="49">
        <f t="shared" si="343"/>
        <v>1025.1199999999999</v>
      </c>
      <c r="J4547" s="49">
        <f t="shared" si="344"/>
        <v>422.09725490196081</v>
      </c>
      <c r="K4547" s="50">
        <f>(G4581+I4581)/2</f>
        <v>1068</v>
      </c>
      <c r="L4547" s="50">
        <f>(H4581+J4581)/2</f>
        <v>434</v>
      </c>
      <c r="P4547" s="48"/>
      <c r="Q4547" s="48"/>
      <c r="R4547" s="48"/>
      <c r="S4547" s="48"/>
      <c r="T4547" s="48"/>
      <c r="U4547" s="48"/>
      <c r="V4547" s="48"/>
      <c r="W4547" s="49"/>
      <c r="X4547" s="49"/>
      <c r="Y4547" s="49"/>
      <c r="Z4547" s="49"/>
      <c r="AA4547" s="49"/>
      <c r="AB4547" s="49"/>
      <c r="AC4547" s="49"/>
      <c r="AD4547" s="49"/>
      <c r="AE4547" s="49"/>
      <c r="AF4547" s="49"/>
      <c r="AG4547" s="49"/>
      <c r="AH4547" s="49"/>
      <c r="AI4547" s="49"/>
      <c r="AJ4547" s="49"/>
      <c r="AK4547" s="49"/>
      <c r="AL4547" s="49"/>
    </row>
    <row r="4548" spans="1:38">
      <c r="A4548" s="48"/>
      <c r="B4548" s="48"/>
      <c r="C4548" s="49">
        <v>0.9</v>
      </c>
      <c r="D4548" s="49">
        <v>18</v>
      </c>
      <c r="E4548" s="49" t="s">
        <v>111</v>
      </c>
      <c r="F4548" s="49">
        <f t="shared" si="345"/>
        <v>50</v>
      </c>
      <c r="G4548" s="49">
        <f>G4552+20*(I4552-G4552)/AL4552</f>
        <v>850</v>
      </c>
      <c r="H4548" s="49">
        <f>H4552+(AL4553-Q4553)*(J4552-H4552)/(AC4553-Q4553)</f>
        <v>399.78213507625276</v>
      </c>
      <c r="I4548" s="49">
        <f t="shared" si="343"/>
        <v>985</v>
      </c>
      <c r="J4548" s="49">
        <f t="shared" si="344"/>
        <v>561.97821350762524</v>
      </c>
      <c r="K4548" s="50">
        <f>(G4584+I4584)/2</f>
        <v>1000</v>
      </c>
      <c r="L4548" s="50">
        <f>(H4584+J4584)/2</f>
        <v>580</v>
      </c>
      <c r="P4548" s="48"/>
      <c r="Q4548" s="48"/>
      <c r="R4548" s="48"/>
      <c r="S4548" s="48"/>
      <c r="T4548" s="48"/>
      <c r="U4548" s="48"/>
      <c r="V4548" s="48"/>
      <c r="W4548" s="49"/>
      <c r="X4548" s="49"/>
      <c r="Y4548" s="49"/>
      <c r="Z4548" s="49"/>
      <c r="AA4548" s="49"/>
      <c r="AB4548" s="49"/>
      <c r="AC4548" s="49"/>
      <c r="AD4548" s="49"/>
      <c r="AE4548" s="49"/>
      <c r="AF4548" s="49"/>
      <c r="AG4548" s="49"/>
      <c r="AH4548" s="49"/>
      <c r="AI4548" s="49"/>
      <c r="AJ4548" s="49"/>
      <c r="AK4548" s="49"/>
      <c r="AL4548" s="49"/>
    </row>
    <row r="4549" spans="1:38">
      <c r="A4549" s="49"/>
      <c r="B4549" s="49"/>
      <c r="C4549" s="49"/>
      <c r="D4549" s="48">
        <v>4</v>
      </c>
      <c r="E4549" s="48" t="s">
        <v>15</v>
      </c>
      <c r="F4549" s="6">
        <v>0</v>
      </c>
      <c r="G4549" s="50"/>
      <c r="P4549" s="48"/>
      <c r="Q4549" s="48"/>
      <c r="R4549" s="48"/>
      <c r="S4549" s="49"/>
      <c r="T4549" s="49"/>
      <c r="U4549" s="49"/>
      <c r="V4549" s="48"/>
      <c r="W4549" s="49"/>
      <c r="X4549" s="49"/>
      <c r="Y4549" s="49"/>
      <c r="Z4549" s="49"/>
      <c r="AA4549" s="49"/>
      <c r="AB4549" s="49"/>
      <c r="AC4549" s="49"/>
      <c r="AD4549" s="49"/>
      <c r="AE4549" s="49"/>
      <c r="AF4549" s="49"/>
      <c r="AG4549" s="49"/>
      <c r="AH4549" s="49"/>
      <c r="AI4549" s="49"/>
      <c r="AJ4549" s="49"/>
      <c r="AK4549" s="49"/>
      <c r="AL4549" s="49"/>
    </row>
    <row r="4550" spans="1:38">
      <c r="A4550" s="49"/>
      <c r="B4550" s="49"/>
      <c r="C4550" s="49"/>
      <c r="D4550" s="48">
        <v>4</v>
      </c>
      <c r="E4550" s="48" t="s">
        <v>15</v>
      </c>
      <c r="F4550" s="6">
        <v>1</v>
      </c>
      <c r="G4550" s="50"/>
      <c r="P4550" s="48"/>
      <c r="Q4550" s="48"/>
      <c r="R4550" s="48"/>
      <c r="S4550" s="49"/>
      <c r="T4550" s="49"/>
      <c r="U4550" s="49"/>
      <c r="V4550" s="48"/>
      <c r="W4550" s="49"/>
      <c r="X4550" s="49"/>
      <c r="Y4550" s="49"/>
      <c r="Z4550" s="49"/>
      <c r="AA4550" s="49"/>
      <c r="AB4550" s="49"/>
      <c r="AC4550" s="49"/>
      <c r="AD4550" s="49"/>
      <c r="AE4550" s="49"/>
      <c r="AF4550" s="49"/>
      <c r="AG4550" s="49"/>
      <c r="AH4550" s="49"/>
      <c r="AI4550" s="49"/>
      <c r="AJ4550" s="49"/>
      <c r="AK4550" s="49"/>
      <c r="AL4550" s="49"/>
    </row>
    <row r="4551" spans="1:38">
      <c r="A4551" s="49"/>
      <c r="B4551" s="49"/>
      <c r="C4551" s="49"/>
      <c r="D4551" s="48">
        <v>4</v>
      </c>
      <c r="E4551" s="48" t="s">
        <v>15</v>
      </c>
      <c r="F4551" s="6">
        <v>3</v>
      </c>
      <c r="G4551" s="50"/>
      <c r="P4551" s="48"/>
      <c r="Q4551" s="48"/>
      <c r="R4551" s="48"/>
      <c r="S4551" s="49"/>
      <c r="T4551" s="49"/>
      <c r="U4551" s="49"/>
      <c r="V4551" s="48"/>
      <c r="W4551" s="49"/>
      <c r="X4551" s="49"/>
      <c r="Y4551" s="49"/>
      <c r="Z4551" s="49"/>
      <c r="AA4551" s="49"/>
      <c r="AB4551" s="49"/>
      <c r="AC4551" s="49"/>
      <c r="AD4551" s="49"/>
      <c r="AE4551" s="49"/>
      <c r="AF4551" s="49"/>
      <c r="AG4551" s="49"/>
      <c r="AH4551" s="49"/>
      <c r="AI4551" s="49"/>
      <c r="AJ4551" s="49"/>
      <c r="AK4551" s="49"/>
      <c r="AL4551" s="49"/>
    </row>
    <row r="4552" spans="1:38">
      <c r="A4552" s="49"/>
      <c r="B4552" s="49"/>
      <c r="C4552" s="49"/>
      <c r="D4552" s="49"/>
      <c r="E4552" s="49" t="s">
        <v>113</v>
      </c>
      <c r="F4552" s="49">
        <v>20</v>
      </c>
      <c r="G4552" s="49">
        <v>350</v>
      </c>
      <c r="H4552" s="50">
        <v>500</v>
      </c>
      <c r="I4552" s="50">
        <f>G4552+500</f>
        <v>850</v>
      </c>
      <c r="J4552" s="49">
        <f>H4552-200</f>
        <v>300</v>
      </c>
      <c r="K4552" s="49" t="s">
        <v>691</v>
      </c>
      <c r="L4552" s="3" t="s">
        <v>692</v>
      </c>
      <c r="M4552" s="49">
        <v>2</v>
      </c>
      <c r="N4552" s="49">
        <v>5</v>
      </c>
      <c r="O4552" s="49">
        <v>-1</v>
      </c>
      <c r="P4552" s="49">
        <f>COUNT(Q4552:DO4552)</f>
        <v>22</v>
      </c>
      <c r="Q4552" s="49">
        <v>0</v>
      </c>
      <c r="R4552" s="49">
        <v>0</v>
      </c>
      <c r="S4552" s="49">
        <v>1</v>
      </c>
      <c r="T4552" s="49">
        <f>S4552+1</f>
        <v>2</v>
      </c>
      <c r="U4552" s="49">
        <f t="shared" ref="U4552:AL4552" si="346">T4552+1</f>
        <v>3</v>
      </c>
      <c r="V4552" s="49">
        <f t="shared" si="346"/>
        <v>4</v>
      </c>
      <c r="W4552" s="49">
        <f t="shared" si="346"/>
        <v>5</v>
      </c>
      <c r="X4552" s="49">
        <f t="shared" si="346"/>
        <v>6</v>
      </c>
      <c r="Y4552" s="49">
        <f t="shared" si="346"/>
        <v>7</v>
      </c>
      <c r="Z4552" s="49">
        <f t="shared" si="346"/>
        <v>8</v>
      </c>
      <c r="AA4552" s="49">
        <f t="shared" si="346"/>
        <v>9</v>
      </c>
      <c r="AB4552" s="49">
        <f t="shared" si="346"/>
        <v>10</v>
      </c>
      <c r="AC4552" s="49">
        <f t="shared" si="346"/>
        <v>11</v>
      </c>
      <c r="AD4552" s="49">
        <f t="shared" si="346"/>
        <v>12</v>
      </c>
      <c r="AE4552" s="49">
        <f t="shared" si="346"/>
        <v>13</v>
      </c>
      <c r="AF4552" s="49">
        <f t="shared" si="346"/>
        <v>14</v>
      </c>
      <c r="AG4552" s="49">
        <f t="shared" si="346"/>
        <v>15</v>
      </c>
      <c r="AH4552" s="49">
        <f t="shared" si="346"/>
        <v>16</v>
      </c>
      <c r="AI4552" s="49">
        <f t="shared" si="346"/>
        <v>17</v>
      </c>
      <c r="AJ4552" s="49">
        <f t="shared" si="346"/>
        <v>18</v>
      </c>
      <c r="AK4552" s="49">
        <f t="shared" si="346"/>
        <v>19</v>
      </c>
      <c r="AL4552" s="49">
        <f t="shared" si="346"/>
        <v>20</v>
      </c>
    </row>
    <row r="4553" spans="1:38">
      <c r="A4553" s="48"/>
      <c r="B4553" s="49"/>
      <c r="C4553" s="49"/>
      <c r="D4553" s="49"/>
      <c r="E4553" s="49" t="s">
        <v>517</v>
      </c>
      <c r="F4553" s="49" t="s">
        <v>710</v>
      </c>
      <c r="G4553" s="50">
        <f>G4552+130</f>
        <v>480</v>
      </c>
      <c r="H4553" s="50">
        <f>J4552+50</f>
        <v>350</v>
      </c>
      <c r="I4553" s="49">
        <f>H4553+35</f>
        <v>385</v>
      </c>
      <c r="J4553" s="49">
        <f>I4553+35</f>
        <v>420</v>
      </c>
      <c r="K4553" s="49">
        <f>J4553+35</f>
        <v>455</v>
      </c>
      <c r="L4553" s="49"/>
      <c r="M4553" s="49"/>
      <c r="N4553" s="49"/>
      <c r="O4553" s="3" t="s">
        <v>722</v>
      </c>
      <c r="P4553" s="49"/>
      <c r="Q4553" s="49">
        <v>4500</v>
      </c>
      <c r="R4553" s="49">
        <f>INT(-29.5*R4552^2+660*R4552+5400)</f>
        <v>5400</v>
      </c>
      <c r="S4553" s="49">
        <f t="shared" ref="S4553:AL4553" si="347">INT(-29.5*S4552^2+660*S4552+5400)</f>
        <v>6030</v>
      </c>
      <c r="T4553" s="49">
        <f t="shared" si="347"/>
        <v>6602</v>
      </c>
      <c r="U4553" s="49">
        <f t="shared" si="347"/>
        <v>7114</v>
      </c>
      <c r="V4553" s="49">
        <f t="shared" si="347"/>
        <v>7568</v>
      </c>
      <c r="W4553" s="49">
        <f t="shared" si="347"/>
        <v>7962</v>
      </c>
      <c r="X4553" s="49">
        <f t="shared" si="347"/>
        <v>8298</v>
      </c>
      <c r="Y4553" s="49">
        <f t="shared" si="347"/>
        <v>8574</v>
      </c>
      <c r="Z4553" s="49">
        <f t="shared" si="347"/>
        <v>8792</v>
      </c>
      <c r="AA4553" s="49">
        <f t="shared" si="347"/>
        <v>8950</v>
      </c>
      <c r="AB4553" s="49">
        <f t="shared" si="347"/>
        <v>9050</v>
      </c>
      <c r="AC4553" s="49">
        <f t="shared" si="347"/>
        <v>9090</v>
      </c>
      <c r="AD4553" s="49">
        <f t="shared" si="347"/>
        <v>9072</v>
      </c>
      <c r="AE4553" s="49">
        <f t="shared" si="347"/>
        <v>8994</v>
      </c>
      <c r="AF4553" s="49">
        <f t="shared" si="347"/>
        <v>8858</v>
      </c>
      <c r="AG4553" s="49">
        <f t="shared" si="347"/>
        <v>8662</v>
      </c>
      <c r="AH4553" s="49">
        <f t="shared" si="347"/>
        <v>8408</v>
      </c>
      <c r="AI4553" s="49">
        <f t="shared" si="347"/>
        <v>8094</v>
      </c>
      <c r="AJ4553" s="49">
        <f t="shared" si="347"/>
        <v>7722</v>
      </c>
      <c r="AK4553" s="49">
        <f t="shared" si="347"/>
        <v>7290</v>
      </c>
      <c r="AL4553" s="49">
        <f t="shared" si="347"/>
        <v>6800</v>
      </c>
    </row>
    <row r="4554" spans="1:38">
      <c r="A4554" s="48"/>
      <c r="B4554" s="1" t="s">
        <v>701</v>
      </c>
      <c r="C4554" s="1" t="s">
        <v>702</v>
      </c>
      <c r="D4554" s="48">
        <v>4</v>
      </c>
      <c r="E4554" s="48" t="s">
        <v>15</v>
      </c>
      <c r="F4554" s="6">
        <v>1</v>
      </c>
      <c r="G4554" s="49"/>
      <c r="H4554" s="49"/>
      <c r="I4554" s="49"/>
      <c r="J4554" s="49"/>
      <c r="K4554" s="49"/>
      <c r="L4554" s="49"/>
      <c r="M4554" s="49"/>
      <c r="N4554" s="49"/>
      <c r="O4554" s="3"/>
      <c r="P4554" s="49"/>
      <c r="Q4554" s="49"/>
      <c r="R4554" s="49"/>
      <c r="S4554" s="49"/>
      <c r="T4554" s="49"/>
      <c r="U4554" s="49"/>
      <c r="V4554" s="49"/>
      <c r="W4554" s="49"/>
      <c r="X4554" s="49"/>
      <c r="Y4554" s="49"/>
      <c r="Z4554" s="49"/>
      <c r="AA4554" s="49"/>
      <c r="AB4554" s="49"/>
      <c r="AC4554" s="49"/>
      <c r="AD4554" s="49"/>
      <c r="AE4554" s="49"/>
      <c r="AF4554" s="49"/>
      <c r="AG4554" s="49"/>
      <c r="AH4554" s="49"/>
      <c r="AI4554" s="49"/>
      <c r="AJ4554" s="49"/>
      <c r="AK4554" s="49"/>
      <c r="AL4554" s="49"/>
    </row>
    <row r="4555" spans="1:38">
      <c r="A4555" s="1" t="s">
        <v>18</v>
      </c>
      <c r="B4555" s="48">
        <v>0.75</v>
      </c>
      <c r="C4555" s="48">
        <v>0.85</v>
      </c>
      <c r="D4555" s="48">
        <v>4</v>
      </c>
      <c r="E4555" s="48" t="s">
        <v>15</v>
      </c>
      <c r="F4555" s="6">
        <v>3</v>
      </c>
      <c r="G4555" s="49"/>
      <c r="H4555" s="50"/>
      <c r="I4555" s="50"/>
      <c r="J4555" s="49"/>
      <c r="K4555" s="49"/>
      <c r="L4555" s="49"/>
      <c r="M4555" s="49"/>
      <c r="N4555" s="49"/>
      <c r="O4555" s="49"/>
      <c r="P4555" s="49"/>
      <c r="Q4555" s="49"/>
      <c r="R4555" s="49"/>
      <c r="S4555" s="49"/>
      <c r="T4555" s="49"/>
      <c r="U4555" s="49"/>
      <c r="V4555" s="49"/>
      <c r="W4555" s="47"/>
      <c r="X4555" s="47"/>
      <c r="Y4555" s="47"/>
      <c r="Z4555" s="47"/>
      <c r="AA4555" s="47"/>
      <c r="AB4555" s="47"/>
      <c r="AC4555" s="47"/>
      <c r="AD4555" s="47"/>
      <c r="AE4555" s="47"/>
      <c r="AF4555" s="47"/>
      <c r="AG4555" s="47"/>
      <c r="AH4555" s="47"/>
      <c r="AI4555" s="47"/>
      <c r="AJ4555" s="47"/>
      <c r="AK4555" s="47"/>
      <c r="AL4555" s="47"/>
    </row>
    <row r="4556" spans="1:38">
      <c r="A4556" s="1" t="s">
        <v>22</v>
      </c>
      <c r="B4556" s="48">
        <v>3</v>
      </c>
      <c r="C4556" s="48">
        <v>10</v>
      </c>
      <c r="D4556" s="48">
        <v>4</v>
      </c>
      <c r="E4556" s="48" t="s">
        <v>15</v>
      </c>
      <c r="F4556" s="6">
        <v>4</v>
      </c>
      <c r="G4556" s="49"/>
      <c r="H4556" s="50"/>
      <c r="I4556" s="50"/>
      <c r="J4556" s="49"/>
      <c r="K4556" s="49"/>
      <c r="L4556" s="49"/>
      <c r="M4556" s="49"/>
      <c r="N4556" s="49"/>
      <c r="O4556" s="49"/>
      <c r="P4556" s="49"/>
      <c r="Q4556" s="49"/>
      <c r="R4556" s="49"/>
      <c r="S4556" s="49"/>
      <c r="T4556" s="49"/>
      <c r="U4556" s="49"/>
      <c r="V4556" s="49"/>
      <c r="W4556" s="49"/>
      <c r="X4556" s="49"/>
      <c r="Y4556" s="49"/>
      <c r="Z4556" s="49"/>
      <c r="AA4556" s="49"/>
      <c r="AB4556" s="49"/>
      <c r="AC4556" s="49"/>
      <c r="AD4556" s="49"/>
      <c r="AE4556" s="49"/>
      <c r="AF4556" s="49"/>
      <c r="AG4556" s="49"/>
      <c r="AH4556" s="49"/>
      <c r="AI4556" s="49"/>
      <c r="AJ4556" s="49"/>
      <c r="AK4556" s="49"/>
      <c r="AL4556" s="49"/>
    </row>
    <row r="4557" spans="1:38">
      <c r="A4557" s="1" t="s">
        <v>21</v>
      </c>
      <c r="B4557" s="48">
        <v>6</v>
      </c>
      <c r="C4557" s="48">
        <v>2</v>
      </c>
      <c r="D4557" s="49"/>
      <c r="E4557" s="49" t="s">
        <v>113</v>
      </c>
      <c r="F4557" s="49">
        <v>14</v>
      </c>
      <c r="G4557" s="7">
        <v>100</v>
      </c>
      <c r="H4557" s="33">
        <v>600</v>
      </c>
      <c r="I4557" s="50">
        <f>G4557+S4557</f>
        <v>160</v>
      </c>
      <c r="J4557" s="49">
        <f>H4557-S4558</f>
        <v>480</v>
      </c>
      <c r="K4557" s="3" t="s">
        <v>22</v>
      </c>
      <c r="L4557" s="49" t="s">
        <v>699</v>
      </c>
      <c r="M4557" s="49">
        <v>2</v>
      </c>
      <c r="N4557" s="49">
        <v>-1</v>
      </c>
      <c r="O4557" s="49">
        <v>-1</v>
      </c>
      <c r="P4557" s="49">
        <f>COUNT(Q4557:DO4557)</f>
        <v>3</v>
      </c>
      <c r="Q4557" s="49">
        <v>0</v>
      </c>
      <c r="R4557" s="49">
        <f>S4557/2</f>
        <v>30</v>
      </c>
      <c r="S4557" s="49">
        <v>60</v>
      </c>
      <c r="T4557" s="49"/>
      <c r="U4557" s="49"/>
      <c r="V4557" s="49"/>
      <c r="W4557" s="49"/>
      <c r="X4557" s="49"/>
      <c r="Y4557" s="49"/>
      <c r="Z4557" s="49"/>
      <c r="AA4557" s="49"/>
      <c r="AB4557" s="49"/>
      <c r="AC4557" s="49"/>
      <c r="AD4557" s="49"/>
      <c r="AE4557" s="49"/>
      <c r="AF4557" s="49"/>
      <c r="AG4557" s="49"/>
      <c r="AH4557" s="49"/>
      <c r="AI4557" s="49"/>
      <c r="AJ4557" s="49"/>
      <c r="AK4557" s="49"/>
      <c r="AL4557" s="49"/>
    </row>
    <row r="4558" spans="1:38">
      <c r="A4558" s="49"/>
      <c r="B4558" s="49"/>
      <c r="C4558" s="49"/>
      <c r="D4558" s="49"/>
      <c r="E4558" s="3" t="s">
        <v>517</v>
      </c>
      <c r="F4558" s="3" t="s">
        <v>707</v>
      </c>
      <c r="G4558" s="49">
        <f>G4557+15</f>
        <v>115</v>
      </c>
      <c r="H4558" s="49">
        <f>H4557-55</f>
        <v>545</v>
      </c>
      <c r="I4558" s="49">
        <f>H4558+20</f>
        <v>565</v>
      </c>
      <c r="J4558" s="49"/>
      <c r="K4558" s="49"/>
      <c r="L4558" s="49"/>
      <c r="M4558" s="49"/>
      <c r="N4558" s="49"/>
      <c r="O4558" s="49"/>
      <c r="P4558" s="49"/>
      <c r="Q4558" s="49">
        <v>0</v>
      </c>
      <c r="R4558" s="49">
        <f>S4558</f>
        <v>120</v>
      </c>
      <c r="S4558" s="49">
        <v>120</v>
      </c>
      <c r="T4558" s="49"/>
      <c r="U4558" s="49"/>
      <c r="V4558" s="49"/>
      <c r="W4558" s="49"/>
      <c r="X4558" s="49"/>
      <c r="Y4558" s="49"/>
      <c r="Z4558" s="49"/>
      <c r="AA4558" s="49"/>
      <c r="AB4558" s="49"/>
      <c r="AC4558" s="49"/>
      <c r="AD4558" s="49"/>
      <c r="AE4558" s="49"/>
      <c r="AF4558" s="49"/>
      <c r="AG4558" s="49"/>
      <c r="AH4558" s="49"/>
      <c r="AI4558" s="49"/>
      <c r="AJ4558" s="49"/>
      <c r="AK4558" s="49"/>
      <c r="AL4558" s="49"/>
    </row>
    <row r="4559" spans="1:38">
      <c r="A4559" s="49"/>
      <c r="B4559" s="49"/>
      <c r="C4559" s="49"/>
      <c r="D4559" s="48">
        <v>4</v>
      </c>
      <c r="E4559" s="48" t="s">
        <v>15</v>
      </c>
      <c r="F4559" s="6">
        <v>3</v>
      </c>
      <c r="G4559" s="50"/>
      <c r="P4559" s="48"/>
      <c r="Q4559" s="48"/>
      <c r="R4559" s="48"/>
      <c r="S4559" s="49"/>
      <c r="T4559" s="49"/>
      <c r="U4559" s="49"/>
      <c r="V4559" s="49"/>
      <c r="W4559" s="49"/>
      <c r="X4559" s="49"/>
      <c r="Y4559" s="49"/>
      <c r="Z4559" s="49"/>
      <c r="AA4559" s="49"/>
      <c r="AB4559" s="49"/>
      <c r="AC4559" s="49"/>
      <c r="AD4559" s="49"/>
      <c r="AE4559" s="49"/>
      <c r="AF4559" s="49"/>
      <c r="AG4559" s="49"/>
      <c r="AH4559" s="49"/>
      <c r="AI4559" s="49"/>
      <c r="AJ4559" s="49"/>
      <c r="AK4559" s="49"/>
      <c r="AL4559" s="49"/>
    </row>
    <row r="4560" spans="1:38">
      <c r="A4560" s="54" t="s">
        <v>42</v>
      </c>
      <c r="B4560" s="48">
        <v>18</v>
      </c>
      <c r="C4560" s="48">
        <f>20-B4560</f>
        <v>2</v>
      </c>
      <c r="D4560" s="49"/>
      <c r="E4560" s="49" t="s">
        <v>113</v>
      </c>
      <c r="F4560" s="49">
        <v>14</v>
      </c>
      <c r="G4560" s="7">
        <v>50</v>
      </c>
      <c r="H4560" s="33">
        <v>400</v>
      </c>
      <c r="I4560" s="50">
        <f>G4560+U4560</f>
        <v>124</v>
      </c>
      <c r="J4560" s="49">
        <f>H4560-U4561</f>
        <v>360</v>
      </c>
      <c r="K4560" s="3" t="s">
        <v>22</v>
      </c>
      <c r="L4560" s="3" t="s">
        <v>21</v>
      </c>
      <c r="M4560" s="49">
        <v>2</v>
      </c>
      <c r="N4560" s="49">
        <v>-1</v>
      </c>
      <c r="O4560" s="49">
        <v>-1</v>
      </c>
      <c r="P4560" s="49">
        <f>COUNT(Q4560:DO4560)</f>
        <v>5</v>
      </c>
      <c r="Q4560" s="49">
        <v>0</v>
      </c>
      <c r="R4560" s="49">
        <f>Q4560+B4556*B4560*(2-2*B4555)</f>
        <v>27</v>
      </c>
      <c r="S4560" s="49">
        <f>Q4560+B4560*B4556</f>
        <v>54</v>
      </c>
      <c r="T4560" s="48">
        <f>S4560+C4560*C4556*(2-2*C4555)</f>
        <v>60</v>
      </c>
      <c r="U4560" s="48">
        <f>S4560+C4560*C4556</f>
        <v>74</v>
      </c>
      <c r="V4560" s="48"/>
      <c r="W4560" s="49"/>
      <c r="X4560" s="49"/>
      <c r="Y4560" s="49"/>
      <c r="Z4560" s="49"/>
      <c r="AA4560" s="49"/>
      <c r="AB4560" s="49"/>
      <c r="AC4560" s="49"/>
      <c r="AD4560" s="49"/>
      <c r="AE4560" s="49"/>
      <c r="AF4560" s="49"/>
      <c r="AG4560" s="49"/>
      <c r="AH4560" s="49"/>
      <c r="AI4560" s="49"/>
      <c r="AJ4560" s="49"/>
      <c r="AK4560" s="49"/>
      <c r="AL4560" s="49"/>
    </row>
    <row r="4561" spans="1:38">
      <c r="A4561" s="48"/>
      <c r="B4561" s="48">
        <f>B4556*B4557*B4555*B4560^2+C4556*C4557*C4555*C4560^2+C4560*B4560*C4556*B4557</f>
        <v>6602</v>
      </c>
      <c r="C4561" s="48"/>
      <c r="D4561" s="49"/>
      <c r="E4561" s="3" t="s">
        <v>517</v>
      </c>
      <c r="F4561" s="3" t="str">
        <f>"a= "&amp;B4560&amp;"; e= "&amp;C4560&amp;"_K= "&amp;B4561</f>
        <v>a= 18; e= 2_K= 6602</v>
      </c>
      <c r="G4561" s="49">
        <f>G4560+15</f>
        <v>65</v>
      </c>
      <c r="H4561" s="49">
        <f>H4560-55</f>
        <v>345</v>
      </c>
      <c r="I4561" s="49">
        <f>H4561+20</f>
        <v>365</v>
      </c>
      <c r="J4561" s="49"/>
      <c r="K4561" s="49"/>
      <c r="L4561" s="49"/>
      <c r="M4561" s="49"/>
      <c r="N4561" s="3"/>
      <c r="O4561" s="3" t="s">
        <v>655</v>
      </c>
      <c r="P4561" s="49"/>
      <c r="Q4561" s="49">
        <v>0</v>
      </c>
      <c r="R4561" s="49">
        <f>S4561</f>
        <v>36</v>
      </c>
      <c r="S4561" s="49">
        <f>Q4561+C4560*B4560</f>
        <v>36</v>
      </c>
      <c r="T4561" s="48">
        <f>U4561</f>
        <v>40</v>
      </c>
      <c r="U4561" s="48">
        <f>R4561+C4560*C4557</f>
        <v>40</v>
      </c>
      <c r="V4561" s="48"/>
      <c r="W4561" s="49"/>
      <c r="X4561" s="49"/>
      <c r="Y4561" s="49"/>
      <c r="Z4561" s="49"/>
      <c r="AA4561" s="49"/>
      <c r="AB4561" s="49"/>
      <c r="AC4561" s="49"/>
      <c r="AD4561" s="49"/>
      <c r="AE4561" s="49"/>
      <c r="AF4561" s="49"/>
      <c r="AG4561" s="49"/>
      <c r="AH4561" s="49"/>
      <c r="AI4561" s="49"/>
      <c r="AJ4561" s="49"/>
      <c r="AK4561" s="49"/>
      <c r="AL4561" s="49"/>
    </row>
    <row r="4562" spans="1:38">
      <c r="A4562" s="48"/>
      <c r="B4562" s="48"/>
      <c r="C4562" s="48"/>
      <c r="D4562" s="48">
        <v>4</v>
      </c>
      <c r="E4562" s="48" t="s">
        <v>15</v>
      </c>
      <c r="F4562" s="6">
        <v>3</v>
      </c>
      <c r="G4562" s="50"/>
      <c r="P4562" s="48"/>
      <c r="Q4562" s="48"/>
      <c r="R4562" s="48"/>
      <c r="S4562" s="49"/>
      <c r="T4562" s="48"/>
      <c r="U4562" s="48"/>
      <c r="V4562" s="48"/>
      <c r="W4562" s="49"/>
      <c r="X4562" s="49"/>
      <c r="Y4562" s="49"/>
      <c r="Z4562" s="49"/>
      <c r="AA4562" s="49"/>
      <c r="AB4562" s="49"/>
      <c r="AC4562" s="49"/>
      <c r="AD4562" s="49"/>
      <c r="AE4562" s="49"/>
      <c r="AF4562" s="49"/>
      <c r="AG4562" s="49"/>
      <c r="AH4562" s="49"/>
      <c r="AI4562" s="49"/>
      <c r="AJ4562" s="49"/>
      <c r="AK4562" s="49"/>
      <c r="AL4562" s="49"/>
    </row>
    <row r="4563" spans="1:38">
      <c r="A4563" s="54" t="s">
        <v>42</v>
      </c>
      <c r="B4563" s="48">
        <v>15</v>
      </c>
      <c r="C4563" s="48">
        <f>20-B4563</f>
        <v>5</v>
      </c>
      <c r="D4563" s="49"/>
      <c r="E4563" s="49" t="s">
        <v>113</v>
      </c>
      <c r="F4563" s="49">
        <v>14</v>
      </c>
      <c r="G4563" s="7">
        <v>120</v>
      </c>
      <c r="H4563" s="33">
        <v>220</v>
      </c>
      <c r="I4563" s="50">
        <f>G4563+U4563</f>
        <v>215</v>
      </c>
      <c r="J4563" s="49">
        <f>H4563-U4564</f>
        <v>135</v>
      </c>
      <c r="K4563" s="3" t="s">
        <v>22</v>
      </c>
      <c r="L4563" s="3" t="s">
        <v>21</v>
      </c>
      <c r="M4563" s="49">
        <v>2</v>
      </c>
      <c r="N4563" s="49">
        <v>-1</v>
      </c>
      <c r="O4563" s="49">
        <v>-1</v>
      </c>
      <c r="P4563" s="49">
        <f>COUNT(Q4563:DO4563)</f>
        <v>5</v>
      </c>
      <c r="Q4563" s="49">
        <v>0</v>
      </c>
      <c r="R4563" s="49">
        <f>Q4563+B4556*B4563*(2-2*B4555)</f>
        <v>22.5</v>
      </c>
      <c r="S4563" s="49">
        <f>Q4563+B4563*B4556</f>
        <v>45</v>
      </c>
      <c r="T4563" s="48">
        <f>S4563+C4563*C4556*(2-2*C4555)</f>
        <v>60</v>
      </c>
      <c r="U4563" s="48">
        <f>S4563+C4563*C4556</f>
        <v>95</v>
      </c>
      <c r="V4563" s="48"/>
      <c r="W4563" s="49"/>
      <c r="X4563" s="49"/>
      <c r="Y4563" s="49"/>
      <c r="Z4563" s="49"/>
      <c r="AA4563" s="49"/>
      <c r="AB4563" s="49"/>
      <c r="AC4563" s="49"/>
      <c r="AD4563" s="49"/>
      <c r="AE4563" s="49"/>
      <c r="AF4563" s="49"/>
      <c r="AG4563" s="49"/>
      <c r="AH4563" s="49"/>
      <c r="AI4563" s="49"/>
      <c r="AJ4563" s="49"/>
      <c r="AK4563" s="49"/>
      <c r="AL4563" s="49"/>
    </row>
    <row r="4564" spans="1:38">
      <c r="A4564" s="48"/>
      <c r="B4564" s="48">
        <f>B4556*B4557*B4555*B4563^2+C4556*C4557*C4555*C4563^2+C4563*B4563*C4556*B4557</f>
        <v>7962.5</v>
      </c>
      <c r="C4564" s="48"/>
      <c r="D4564" s="49"/>
      <c r="E4564" s="3" t="s">
        <v>517</v>
      </c>
      <c r="F4564" s="3" t="str">
        <f>"a= "&amp;B4563&amp;"; e= "&amp;C4563&amp;"_K= "&amp;B4564</f>
        <v>a= 15; e= 5_K= 7962,5</v>
      </c>
      <c r="G4564" s="49">
        <f>G4563+15</f>
        <v>135</v>
      </c>
      <c r="H4564" s="49">
        <f>H4563-55</f>
        <v>165</v>
      </c>
      <c r="I4564" s="49">
        <f>H4564+20</f>
        <v>185</v>
      </c>
      <c r="J4564" s="49"/>
      <c r="K4564" s="49"/>
      <c r="L4564" s="49"/>
      <c r="M4564" s="49"/>
      <c r="N4564" s="49"/>
      <c r="O4564" s="3" t="s">
        <v>655</v>
      </c>
      <c r="P4564" s="49"/>
      <c r="Q4564" s="49">
        <v>0</v>
      </c>
      <c r="R4564" s="49">
        <f>S4564</f>
        <v>75</v>
      </c>
      <c r="S4564" s="49">
        <f>Q4564+C4563*B4563</f>
        <v>75</v>
      </c>
      <c r="T4564" s="48">
        <f>U4564</f>
        <v>85</v>
      </c>
      <c r="U4564" s="48">
        <f>R4564+C4563*C4557</f>
        <v>85</v>
      </c>
      <c r="V4564" s="49"/>
      <c r="W4564" s="49"/>
      <c r="X4564" s="49"/>
      <c r="Y4564" s="49"/>
      <c r="Z4564" s="49"/>
      <c r="AA4564" s="49"/>
      <c r="AB4564" s="49"/>
      <c r="AC4564" s="49"/>
      <c r="AD4564" s="49"/>
      <c r="AE4564" s="49"/>
      <c r="AF4564" s="49"/>
      <c r="AG4564" s="49"/>
      <c r="AH4564" s="49"/>
      <c r="AI4564" s="49"/>
      <c r="AJ4564" s="49"/>
      <c r="AK4564" s="49"/>
      <c r="AL4564" s="49"/>
    </row>
    <row r="4565" spans="1:38">
      <c r="A4565" s="48"/>
      <c r="B4565" s="48"/>
      <c r="C4565" s="48"/>
      <c r="D4565" s="48">
        <v>4</v>
      </c>
      <c r="E4565" s="48" t="s">
        <v>15</v>
      </c>
      <c r="F4565" s="6">
        <v>3</v>
      </c>
      <c r="G4565" s="50"/>
      <c r="P4565" s="48"/>
      <c r="Q4565" s="48"/>
      <c r="R4565" s="48"/>
      <c r="S4565" s="49"/>
      <c r="T4565" s="49"/>
      <c r="U4565" s="49"/>
      <c r="V4565" s="49"/>
      <c r="W4565" s="49"/>
      <c r="X4565" s="49"/>
      <c r="Y4565" s="49"/>
      <c r="Z4565" s="49"/>
      <c r="AA4565" s="49"/>
      <c r="AB4565" s="49"/>
      <c r="AC4565" s="49"/>
      <c r="AD4565" s="49"/>
      <c r="AE4565" s="49"/>
      <c r="AF4565" s="49"/>
      <c r="AG4565" s="49"/>
      <c r="AH4565" s="49"/>
      <c r="AI4565" s="49"/>
      <c r="AJ4565" s="49"/>
      <c r="AK4565" s="49"/>
      <c r="AL4565" s="49"/>
    </row>
    <row r="4566" spans="1:38">
      <c r="A4566" s="54" t="s">
        <v>42</v>
      </c>
      <c r="B4566" s="48">
        <v>12</v>
      </c>
      <c r="C4566" s="48">
        <f>20-B4566</f>
        <v>8</v>
      </c>
      <c r="D4566" s="49"/>
      <c r="E4566" s="49" t="s">
        <v>113</v>
      </c>
      <c r="F4566" s="49">
        <v>14</v>
      </c>
      <c r="G4566" s="7">
        <v>280</v>
      </c>
      <c r="H4566" s="33">
        <v>150</v>
      </c>
      <c r="I4566" s="50">
        <f>G4566+U4566</f>
        <v>396</v>
      </c>
      <c r="J4566" s="49">
        <f>H4566-U4567</f>
        <v>38</v>
      </c>
      <c r="K4566" s="3" t="s">
        <v>22</v>
      </c>
      <c r="L4566" s="3" t="s">
        <v>21</v>
      </c>
      <c r="M4566" s="49">
        <v>2</v>
      </c>
      <c r="N4566" s="49">
        <v>-1</v>
      </c>
      <c r="O4566" s="49">
        <v>-1</v>
      </c>
      <c r="P4566" s="49">
        <f>COUNT(Q4566:DO4566)</f>
        <v>5</v>
      </c>
      <c r="Q4566" s="49">
        <v>0</v>
      </c>
      <c r="R4566" s="49">
        <f>Q4566+B4556*B4566*(2-2*B4555)</f>
        <v>18</v>
      </c>
      <c r="S4566" s="49">
        <f>Q4566+B4566*B4556</f>
        <v>36</v>
      </c>
      <c r="T4566" s="48">
        <f>S4566+C4566*C4556*(2-2*C4555)</f>
        <v>60</v>
      </c>
      <c r="U4566" s="48">
        <f>S4566+C4566*C4556</f>
        <v>116</v>
      </c>
      <c r="V4566" s="49"/>
      <c r="W4566" s="49"/>
      <c r="X4566" s="49"/>
      <c r="Y4566" s="49"/>
      <c r="Z4566" s="49"/>
      <c r="AA4566" s="49"/>
      <c r="AB4566" s="49"/>
      <c r="AC4566" s="49"/>
      <c r="AD4566" s="49"/>
      <c r="AE4566" s="49"/>
      <c r="AF4566" s="49"/>
      <c r="AG4566" s="49"/>
      <c r="AH4566" s="49"/>
      <c r="AI4566" s="49"/>
      <c r="AJ4566" s="49"/>
      <c r="AK4566" s="49"/>
      <c r="AL4566" s="49"/>
    </row>
    <row r="4567" spans="1:38">
      <c r="A4567" s="48"/>
      <c r="B4567" s="48">
        <f>B4556*B4557*B4555*B4566^2+C4556*C4557*C4555*C4566^2+C4566*B4566*C4556*B4557</f>
        <v>8792</v>
      </c>
      <c r="C4567" s="48"/>
      <c r="D4567" s="49"/>
      <c r="E4567" s="3" t="s">
        <v>517</v>
      </c>
      <c r="F4567" s="3" t="str">
        <f>"a= "&amp;B4566&amp;"; e= "&amp;C4566&amp;"_K= "&amp;B4567</f>
        <v>a= 12; e= 8_K= 8792</v>
      </c>
      <c r="G4567" s="49">
        <f>G4566+15</f>
        <v>295</v>
      </c>
      <c r="H4567" s="49">
        <f>H4566-55</f>
        <v>95</v>
      </c>
      <c r="I4567" s="49">
        <f>H4567+20</f>
        <v>115</v>
      </c>
      <c r="J4567" s="49"/>
      <c r="K4567" s="49"/>
      <c r="L4567" s="49"/>
      <c r="M4567" s="49"/>
      <c r="N4567" s="49"/>
      <c r="O4567" s="49"/>
      <c r="P4567" s="49"/>
      <c r="Q4567" s="49">
        <v>0</v>
      </c>
      <c r="R4567" s="49">
        <f>S4567</f>
        <v>96</v>
      </c>
      <c r="S4567" s="49">
        <f>Q4567+C4566*B4566</f>
        <v>96</v>
      </c>
      <c r="T4567" s="48">
        <f>U4567</f>
        <v>112</v>
      </c>
      <c r="U4567" s="48">
        <f>R4567+C4566*C4557</f>
        <v>112</v>
      </c>
      <c r="V4567" s="49"/>
      <c r="W4567" s="49"/>
      <c r="X4567" s="49"/>
      <c r="Y4567" s="49"/>
      <c r="Z4567" s="49"/>
      <c r="AA4567" s="49"/>
      <c r="AB4567" s="49"/>
      <c r="AC4567" s="49"/>
      <c r="AD4567" s="49"/>
      <c r="AE4567" s="49"/>
      <c r="AF4567" s="49"/>
      <c r="AG4567" s="49"/>
      <c r="AH4567" s="49"/>
      <c r="AI4567" s="49"/>
      <c r="AJ4567" s="49"/>
      <c r="AK4567" s="49"/>
      <c r="AL4567" s="49"/>
    </row>
    <row r="4568" spans="1:38">
      <c r="A4568" s="48"/>
      <c r="B4568" s="48"/>
      <c r="C4568" s="48"/>
      <c r="D4568" s="48">
        <v>4</v>
      </c>
      <c r="E4568" s="48" t="s">
        <v>15</v>
      </c>
      <c r="F4568" s="6">
        <v>3</v>
      </c>
      <c r="G4568" s="50"/>
      <c r="P4568" s="48"/>
      <c r="Q4568" s="48"/>
      <c r="R4568" s="48"/>
      <c r="S4568" s="49"/>
      <c r="T4568" s="49"/>
      <c r="U4568" s="49"/>
      <c r="V4568" s="49"/>
      <c r="W4568" s="49"/>
      <c r="X4568" s="49"/>
      <c r="Y4568" s="49"/>
      <c r="Z4568" s="49"/>
      <c r="AA4568" s="49"/>
      <c r="AB4568" s="49"/>
      <c r="AC4568" s="49"/>
      <c r="AD4568" s="49"/>
      <c r="AE4568" s="49"/>
      <c r="AF4568" s="49"/>
      <c r="AG4568" s="49"/>
      <c r="AH4568" s="49"/>
      <c r="AI4568" s="49"/>
      <c r="AJ4568" s="49"/>
      <c r="AK4568" s="49"/>
      <c r="AL4568" s="49"/>
    </row>
    <row r="4569" spans="1:38">
      <c r="A4569" s="54" t="s">
        <v>42</v>
      </c>
      <c r="B4569" s="48">
        <v>10</v>
      </c>
      <c r="C4569" s="48">
        <f>20-B4569</f>
        <v>10</v>
      </c>
      <c r="D4569" s="49"/>
      <c r="E4569" s="49" t="s">
        <v>113</v>
      </c>
      <c r="F4569" s="49">
        <v>14</v>
      </c>
      <c r="G4569" s="7">
        <v>480</v>
      </c>
      <c r="H4569" s="33">
        <v>120</v>
      </c>
      <c r="I4569" s="50">
        <f>G4569+U4569</f>
        <v>610</v>
      </c>
      <c r="J4569" s="49">
        <f>H4569-U4570</f>
        <v>0</v>
      </c>
      <c r="K4569" s="3" t="s">
        <v>22</v>
      </c>
      <c r="L4569" s="3" t="s">
        <v>703</v>
      </c>
      <c r="M4569" s="49">
        <v>2</v>
      </c>
      <c r="N4569" s="49">
        <v>-1</v>
      </c>
      <c r="O4569" s="49">
        <v>-1</v>
      </c>
      <c r="P4569" s="49">
        <f>COUNT(Q4569:DO4569)</f>
        <v>5</v>
      </c>
      <c r="Q4569" s="49">
        <v>0</v>
      </c>
      <c r="R4569" s="49">
        <f>Q4569+B4556*B4569*(2-2*B4555)</f>
        <v>15</v>
      </c>
      <c r="S4569" s="49">
        <f>Q4569+B4569*B4556</f>
        <v>30</v>
      </c>
      <c r="T4569" s="48">
        <f>S4569+C4569*C4556*(2-2*C4555)</f>
        <v>60</v>
      </c>
      <c r="U4569" s="48">
        <f>S4569+C4569*C4556</f>
        <v>130</v>
      </c>
      <c r="V4569" s="49"/>
      <c r="W4569" s="49"/>
      <c r="X4569" s="49"/>
      <c r="Y4569" s="49"/>
      <c r="Z4569" s="49"/>
      <c r="AA4569" s="49"/>
      <c r="AB4569" s="49"/>
      <c r="AC4569" s="49"/>
      <c r="AD4569" s="49"/>
      <c r="AE4569" s="49"/>
      <c r="AF4569" s="49"/>
      <c r="AG4569" s="49"/>
      <c r="AH4569" s="49"/>
      <c r="AI4569" s="49"/>
      <c r="AJ4569" s="49"/>
      <c r="AK4569" s="49"/>
      <c r="AL4569" s="49"/>
    </row>
    <row r="4570" spans="1:38">
      <c r="A4570" s="48"/>
      <c r="B4570" s="48">
        <f>B4556*B4557*B4555*B4569^2+C4556*C4557*C4555*C4569^2+C4569*B4569*C4556*B4557</f>
        <v>9050</v>
      </c>
      <c r="C4570" s="48"/>
      <c r="D4570" s="49"/>
      <c r="E4570" s="3" t="s">
        <v>517</v>
      </c>
      <c r="F4570" s="3" t="str">
        <f>"a= "&amp;B4569&amp;"; e= "&amp;C4569&amp;"_K= "&amp;B4570</f>
        <v>a= 10; e= 10_K= 9050</v>
      </c>
      <c r="G4570" s="49">
        <f>G4569+15</f>
        <v>495</v>
      </c>
      <c r="H4570" s="49">
        <f>H4569-55</f>
        <v>65</v>
      </c>
      <c r="I4570" s="49">
        <f>H4570+20</f>
        <v>85</v>
      </c>
      <c r="J4570" s="49"/>
      <c r="K4570" s="49"/>
      <c r="L4570" s="49"/>
      <c r="M4570" s="49"/>
      <c r="N4570" s="49"/>
      <c r="O4570" s="49"/>
      <c r="P4570" s="49"/>
      <c r="Q4570" s="49">
        <v>0</v>
      </c>
      <c r="R4570" s="49">
        <f>S4570</f>
        <v>100</v>
      </c>
      <c r="S4570" s="49">
        <f>Q4570+C4569*B4569</f>
        <v>100</v>
      </c>
      <c r="T4570" s="48">
        <f>U4570</f>
        <v>120</v>
      </c>
      <c r="U4570" s="48">
        <f>R4570+C4569*C4557</f>
        <v>120</v>
      </c>
      <c r="V4570" s="49"/>
      <c r="W4570" s="49"/>
      <c r="X4570" s="49"/>
      <c r="Y4570" s="49"/>
      <c r="Z4570" s="49"/>
      <c r="AA4570" s="49"/>
      <c r="AB4570" s="49"/>
      <c r="AC4570" s="49"/>
      <c r="AD4570" s="49"/>
      <c r="AE4570" s="49"/>
      <c r="AF4570" s="49"/>
      <c r="AG4570" s="49"/>
      <c r="AH4570" s="49"/>
      <c r="AI4570" s="49"/>
      <c r="AJ4570" s="49"/>
      <c r="AK4570" s="49"/>
      <c r="AL4570" s="49"/>
    </row>
    <row r="4571" spans="1:38">
      <c r="A4571" s="48"/>
      <c r="B4571" s="48"/>
      <c r="C4571" s="48"/>
      <c r="D4571" s="48">
        <v>4</v>
      </c>
      <c r="E4571" s="48" t="s">
        <v>15</v>
      </c>
      <c r="F4571" s="6">
        <v>3</v>
      </c>
      <c r="G4571" s="50"/>
      <c r="P4571" s="48"/>
      <c r="Q4571" s="48"/>
      <c r="R4571" s="48"/>
      <c r="S4571" s="49"/>
      <c r="T4571" s="49"/>
      <c r="U4571" s="49"/>
      <c r="V4571" s="49"/>
      <c r="W4571" s="49"/>
      <c r="X4571" s="49"/>
      <c r="Y4571" s="49"/>
      <c r="Z4571" s="49"/>
      <c r="AA4571" s="49"/>
      <c r="AB4571" s="49"/>
      <c r="AC4571" s="49"/>
      <c r="AD4571" s="49"/>
      <c r="AE4571" s="49"/>
      <c r="AF4571" s="49"/>
      <c r="AG4571" s="49"/>
      <c r="AH4571" s="49"/>
      <c r="AI4571" s="49"/>
      <c r="AJ4571" s="49"/>
      <c r="AK4571" s="49"/>
      <c r="AL4571" s="49"/>
    </row>
    <row r="4572" spans="1:38">
      <c r="A4572" s="54" t="s">
        <v>42</v>
      </c>
      <c r="B4572" s="48">
        <v>9</v>
      </c>
      <c r="C4572" s="48">
        <f>20-B4572</f>
        <v>11</v>
      </c>
      <c r="D4572" s="49"/>
      <c r="E4572" s="49" t="s">
        <v>113</v>
      </c>
      <c r="F4572" s="49">
        <v>14</v>
      </c>
      <c r="G4572" s="7">
        <v>700</v>
      </c>
      <c r="H4572" s="33">
        <v>140</v>
      </c>
      <c r="I4572" s="50">
        <f>G4572+U4572</f>
        <v>837</v>
      </c>
      <c r="J4572" s="49">
        <f>H4572-U4573</f>
        <v>19</v>
      </c>
      <c r="K4572" s="3" t="s">
        <v>22</v>
      </c>
      <c r="L4572" s="3" t="s">
        <v>704</v>
      </c>
      <c r="M4572" s="49">
        <v>2</v>
      </c>
      <c r="N4572" s="49">
        <v>-1</v>
      </c>
      <c r="O4572" s="49">
        <v>-1</v>
      </c>
      <c r="P4572" s="49">
        <f>COUNT(Q4572:DO4572)</f>
        <v>5</v>
      </c>
      <c r="Q4572" s="49">
        <v>0</v>
      </c>
      <c r="R4572" s="49">
        <f>Q4572+B4556*B4572*(2-2*B4555)</f>
        <v>13.5</v>
      </c>
      <c r="S4572" s="49">
        <f>Q4572+B4572*B4556</f>
        <v>27</v>
      </c>
      <c r="T4572" s="48">
        <f>S4572+C4572*C4556*(2-2*C4555)</f>
        <v>60.000000000000007</v>
      </c>
      <c r="U4572" s="48">
        <f>S4572+C4572*C4556</f>
        <v>137</v>
      </c>
      <c r="V4572" s="49"/>
      <c r="W4572" s="49"/>
      <c r="X4572" s="49"/>
      <c r="Y4572" s="49"/>
      <c r="Z4572" s="49"/>
      <c r="AA4572" s="49"/>
      <c r="AB4572" s="49"/>
      <c r="AC4572" s="49"/>
      <c r="AD4572" s="49"/>
      <c r="AE4572" s="49"/>
      <c r="AF4572" s="49"/>
      <c r="AG4572" s="49"/>
      <c r="AH4572" s="49"/>
      <c r="AI4572" s="49"/>
      <c r="AJ4572" s="49"/>
      <c r="AK4572" s="49"/>
      <c r="AL4572" s="49"/>
    </row>
    <row r="4573" spans="1:38">
      <c r="A4573" s="48"/>
      <c r="B4573" s="48">
        <f>B4556*B4557*B4555*B4572^2+C4556*C4557*C4555*C4572^2+C4572*B4572*C4556*B4557</f>
        <v>9090.5</v>
      </c>
      <c r="C4573" s="48"/>
      <c r="D4573" s="49"/>
      <c r="E4573" s="3" t="s">
        <v>517</v>
      </c>
      <c r="F4573" s="3" t="str">
        <f>"a= "&amp;B4572&amp;"; e= "&amp;C4572&amp;"_K= "&amp;B4573</f>
        <v>a= 9; e= 11_K= 9090,5</v>
      </c>
      <c r="G4573" s="49">
        <f>G4572+15</f>
        <v>715</v>
      </c>
      <c r="H4573" s="49">
        <f>H4572-55</f>
        <v>85</v>
      </c>
      <c r="I4573" s="49">
        <f>H4573+20</f>
        <v>105</v>
      </c>
      <c r="J4573" s="49"/>
      <c r="K4573" s="49"/>
      <c r="L4573" s="49"/>
      <c r="M4573" s="49"/>
      <c r="N4573" s="49"/>
      <c r="O4573" s="49"/>
      <c r="P4573" s="49"/>
      <c r="Q4573" s="49">
        <v>0</v>
      </c>
      <c r="R4573" s="49">
        <f>S4573</f>
        <v>99</v>
      </c>
      <c r="S4573" s="49">
        <f>Q4573+C4572*B4572</f>
        <v>99</v>
      </c>
      <c r="T4573" s="48">
        <f>U4573</f>
        <v>121</v>
      </c>
      <c r="U4573" s="48">
        <f>R4573+C4572*C4557</f>
        <v>121</v>
      </c>
      <c r="V4573" s="49"/>
      <c r="W4573" s="49"/>
      <c r="X4573" s="49"/>
      <c r="Y4573" s="49"/>
      <c r="Z4573" s="49"/>
      <c r="AA4573" s="49"/>
      <c r="AB4573" s="49"/>
      <c r="AC4573" s="49"/>
      <c r="AD4573" s="49"/>
      <c r="AE4573" s="49"/>
      <c r="AF4573" s="49"/>
      <c r="AG4573" s="49"/>
      <c r="AH4573" s="49"/>
      <c r="AI4573" s="49"/>
      <c r="AJ4573" s="49"/>
      <c r="AK4573" s="49"/>
      <c r="AL4573" s="49"/>
    </row>
    <row r="4574" spans="1:38">
      <c r="A4574" s="48"/>
      <c r="B4574" s="48"/>
      <c r="C4574" s="48"/>
      <c r="D4574" s="48">
        <v>4</v>
      </c>
      <c r="E4574" s="48" t="s">
        <v>15</v>
      </c>
      <c r="F4574" s="6">
        <v>3</v>
      </c>
      <c r="G4574" s="50"/>
      <c r="P4574" s="48"/>
      <c r="Q4574" s="48"/>
      <c r="R4574" s="48"/>
      <c r="S4574" s="49"/>
      <c r="T4574" s="49"/>
      <c r="U4574" s="49"/>
      <c r="V4574" s="49"/>
      <c r="W4574" s="49"/>
      <c r="X4574" s="49"/>
      <c r="Y4574" s="49"/>
      <c r="Z4574" s="49"/>
      <c r="AA4574" s="49"/>
      <c r="AB4574" s="49"/>
      <c r="AC4574" s="49"/>
      <c r="AD4574" s="49"/>
      <c r="AE4574" s="49"/>
      <c r="AF4574" s="49"/>
      <c r="AG4574" s="49"/>
      <c r="AH4574" s="49"/>
      <c r="AI4574" s="49"/>
      <c r="AJ4574" s="49"/>
      <c r="AK4574" s="49"/>
      <c r="AL4574" s="49"/>
    </row>
    <row r="4575" spans="1:38">
      <c r="A4575" s="54" t="s">
        <v>42</v>
      </c>
      <c r="B4575" s="48">
        <v>6</v>
      </c>
      <c r="C4575" s="48">
        <f>20-B4575</f>
        <v>14</v>
      </c>
      <c r="D4575" s="49"/>
      <c r="E4575" s="49" t="s">
        <v>113</v>
      </c>
      <c r="F4575" s="49">
        <v>14</v>
      </c>
      <c r="G4575" s="7">
        <v>920</v>
      </c>
      <c r="H4575" s="33">
        <v>210</v>
      </c>
      <c r="I4575" s="50">
        <f>G4575+U4575</f>
        <v>1078</v>
      </c>
      <c r="J4575" s="49">
        <f>H4575-U4576</f>
        <v>98</v>
      </c>
      <c r="K4575" s="3" t="s">
        <v>22</v>
      </c>
      <c r="L4575" s="3" t="s">
        <v>705</v>
      </c>
      <c r="M4575" s="49">
        <v>2</v>
      </c>
      <c r="N4575" s="49">
        <v>-1</v>
      </c>
      <c r="O4575" s="49">
        <v>-1</v>
      </c>
      <c r="P4575" s="49">
        <f>COUNT(Q4575:DO4575)</f>
        <v>5</v>
      </c>
      <c r="Q4575" s="49">
        <v>0</v>
      </c>
      <c r="R4575" s="49">
        <f>Q4575+B4556*B4575*(2-2*B4555)</f>
        <v>9</v>
      </c>
      <c r="S4575" s="49">
        <f>Q4575+B4575*B4556</f>
        <v>18</v>
      </c>
      <c r="T4575" s="48">
        <f>S4575+C4575*C4556*(2-2*C4555)</f>
        <v>60.000000000000007</v>
      </c>
      <c r="U4575" s="48">
        <f>S4575+C4575*C4556</f>
        <v>158</v>
      </c>
      <c r="V4575" s="49"/>
      <c r="W4575" s="49"/>
      <c r="X4575" s="49"/>
      <c r="Y4575" s="49"/>
      <c r="Z4575" s="49"/>
      <c r="AA4575" s="49"/>
      <c r="AB4575" s="49"/>
      <c r="AC4575" s="49"/>
      <c r="AD4575" s="49"/>
      <c r="AE4575" s="49"/>
      <c r="AF4575" s="49"/>
      <c r="AG4575" s="49"/>
      <c r="AH4575" s="49"/>
      <c r="AI4575" s="49"/>
      <c r="AJ4575" s="49"/>
      <c r="AK4575" s="49"/>
      <c r="AL4575" s="49"/>
    </row>
    <row r="4576" spans="1:38">
      <c r="A4576" s="48"/>
      <c r="B4576" s="48">
        <f>B4556*B4557*B4555*B4575^2+C4556*C4557*C4555*C4575^2+C4575*B4575*C4556*B4557</f>
        <v>8858</v>
      </c>
      <c r="C4576" s="48"/>
      <c r="D4576" s="49"/>
      <c r="E4576" s="3" t="s">
        <v>517</v>
      </c>
      <c r="F4576" s="3" t="str">
        <f>"a= "&amp;B4575&amp;"; e= "&amp;C4575&amp;"_K= "&amp;B4576</f>
        <v>a= 6; e= 14_K= 8858</v>
      </c>
      <c r="G4576" s="49">
        <f>G4575+15</f>
        <v>935</v>
      </c>
      <c r="H4576" s="49">
        <f>H4575-55</f>
        <v>155</v>
      </c>
      <c r="I4576" s="49">
        <f>H4576+20</f>
        <v>175</v>
      </c>
      <c r="J4576" s="49"/>
      <c r="K4576" s="49"/>
      <c r="L4576" s="49"/>
      <c r="M4576" s="49"/>
      <c r="N4576" s="49"/>
      <c r="O4576" s="49"/>
      <c r="P4576" s="49"/>
      <c r="Q4576" s="49">
        <v>0</v>
      </c>
      <c r="R4576" s="49">
        <f>S4576</f>
        <v>84</v>
      </c>
      <c r="S4576" s="49">
        <f>Q4576+C4575*B4575</f>
        <v>84</v>
      </c>
      <c r="T4576" s="48">
        <f>U4576</f>
        <v>112</v>
      </c>
      <c r="U4576" s="48">
        <f>R4576+C4575*C4557</f>
        <v>112</v>
      </c>
      <c r="V4576" s="49"/>
      <c r="W4576" s="49"/>
      <c r="X4576" s="49"/>
      <c r="Y4576" s="49"/>
      <c r="Z4576" s="49"/>
      <c r="AA4576" s="49"/>
      <c r="AB4576" s="49"/>
      <c r="AC4576" s="49"/>
      <c r="AD4576" s="49"/>
      <c r="AE4576" s="49"/>
      <c r="AF4576" s="49"/>
      <c r="AG4576" s="49"/>
      <c r="AH4576" s="49"/>
      <c r="AI4576" s="49"/>
      <c r="AJ4576" s="49"/>
      <c r="AK4576" s="49"/>
      <c r="AL4576" s="49"/>
    </row>
    <row r="4577" spans="1:38">
      <c r="A4577" s="48"/>
      <c r="B4577" s="48"/>
      <c r="C4577" s="48"/>
      <c r="D4577" s="48">
        <v>4</v>
      </c>
      <c r="E4577" s="48" t="s">
        <v>15</v>
      </c>
      <c r="F4577" s="6">
        <v>3</v>
      </c>
      <c r="G4577" s="50"/>
      <c r="P4577" s="48"/>
      <c r="Q4577" s="48"/>
      <c r="R4577" s="48"/>
      <c r="S4577" s="49"/>
      <c r="T4577" s="49"/>
      <c r="U4577" s="49"/>
      <c r="V4577" s="49"/>
      <c r="W4577" s="49"/>
      <c r="X4577" s="49"/>
      <c r="Y4577" s="49"/>
      <c r="Z4577" s="49"/>
      <c r="AA4577" s="49"/>
      <c r="AB4577" s="49"/>
      <c r="AC4577" s="49"/>
      <c r="AD4577" s="49"/>
      <c r="AE4577" s="49"/>
      <c r="AF4577" s="49"/>
      <c r="AG4577" s="49"/>
      <c r="AH4577" s="49"/>
      <c r="AI4577" s="49"/>
      <c r="AJ4577" s="49"/>
      <c r="AK4577" s="49"/>
      <c r="AL4577" s="49"/>
    </row>
    <row r="4578" spans="1:38">
      <c r="A4578" s="54" t="s">
        <v>42</v>
      </c>
      <c r="B4578" s="48">
        <v>5</v>
      </c>
      <c r="C4578" s="48">
        <f>20-B4578</f>
        <v>15</v>
      </c>
      <c r="D4578" s="49"/>
      <c r="E4578" s="49" t="s">
        <v>113</v>
      </c>
      <c r="F4578" s="49">
        <v>14</v>
      </c>
      <c r="G4578" s="7">
        <v>1000</v>
      </c>
      <c r="H4578" s="33">
        <v>340</v>
      </c>
      <c r="I4578" s="50">
        <f>G4578+U4578</f>
        <v>1165</v>
      </c>
      <c r="J4578" s="49">
        <f>H4578-U4579</f>
        <v>235</v>
      </c>
      <c r="K4578" s="3" t="s">
        <v>22</v>
      </c>
      <c r="L4578" s="3" t="s">
        <v>706</v>
      </c>
      <c r="M4578" s="49">
        <v>2</v>
      </c>
      <c r="N4578" s="49">
        <v>-1</v>
      </c>
      <c r="O4578" s="49">
        <v>-1</v>
      </c>
      <c r="P4578" s="49">
        <f>COUNT(Q4578:DO4578)</f>
        <v>5</v>
      </c>
      <c r="Q4578" s="49">
        <v>0</v>
      </c>
      <c r="R4578" s="49">
        <f>Q4578+B4556*B4578*(2-2*B4555)</f>
        <v>7.5</v>
      </c>
      <c r="S4578" s="49">
        <f>Q4578+B4578*B4556</f>
        <v>15</v>
      </c>
      <c r="T4578" s="48">
        <f>S4578+C4578*C4556*(2-2*C4555)</f>
        <v>60.000000000000007</v>
      </c>
      <c r="U4578" s="48">
        <f>S4578+C4578*C4556</f>
        <v>165</v>
      </c>
      <c r="V4578" s="49"/>
      <c r="W4578" s="49"/>
      <c r="X4578" s="49"/>
      <c r="Y4578" s="49"/>
      <c r="Z4578" s="49"/>
      <c r="AA4578" s="49"/>
      <c r="AB4578" s="49"/>
      <c r="AC4578" s="49"/>
      <c r="AD4578" s="49"/>
      <c r="AE4578" s="49"/>
      <c r="AF4578" s="49"/>
      <c r="AG4578" s="49"/>
      <c r="AH4578" s="49"/>
      <c r="AI4578" s="49"/>
      <c r="AJ4578" s="49"/>
      <c r="AK4578" s="49"/>
      <c r="AL4578" s="49"/>
    </row>
    <row r="4579" spans="1:38">
      <c r="A4579" s="48"/>
      <c r="B4579" s="48">
        <f>B4556*B4557*B4555*B4578^2+C4556*C4557*C4555*C4578^2+C4578*B4578*C4556*B4557</f>
        <v>8662.5</v>
      </c>
      <c r="C4579" s="48"/>
      <c r="D4579" s="49">
        <f>ROUNDUP(6+F4579/2,0)</f>
        <v>17</v>
      </c>
      <c r="E4579" s="49" t="s">
        <v>6</v>
      </c>
      <c r="F4579" s="49">
        <f>LEN(G4579)</f>
        <v>22</v>
      </c>
      <c r="G4579" s="3" t="str">
        <f>"K= "&amp;B4579&amp;"  a= "&amp;B4578&amp;"; e= "&amp;C4578</f>
        <v>K= 8662,5  a= 5; e= 15</v>
      </c>
      <c r="H4579" s="49">
        <f>H4578-35</f>
        <v>305</v>
      </c>
      <c r="I4579" s="49">
        <f>G4578+15</f>
        <v>1015</v>
      </c>
      <c r="J4579" s="49"/>
      <c r="K4579" s="49"/>
      <c r="L4579" s="49"/>
      <c r="M4579" s="49"/>
      <c r="N4579" s="49"/>
      <c r="O4579" s="49"/>
      <c r="P4579" s="49"/>
      <c r="Q4579" s="49">
        <v>0</v>
      </c>
      <c r="R4579" s="49">
        <f>S4579</f>
        <v>75</v>
      </c>
      <c r="S4579" s="49">
        <f>Q4579+C4578*B4578</f>
        <v>75</v>
      </c>
      <c r="T4579" s="48">
        <f>U4579</f>
        <v>105</v>
      </c>
      <c r="U4579" s="48">
        <f>R4579+C4578*C4557</f>
        <v>105</v>
      </c>
      <c r="V4579" s="49"/>
      <c r="W4579" s="49"/>
      <c r="X4579" s="49"/>
      <c r="Y4579" s="49"/>
      <c r="Z4579" s="49"/>
      <c r="AA4579" s="49"/>
      <c r="AB4579" s="49"/>
      <c r="AC4579" s="49"/>
      <c r="AD4579" s="49"/>
      <c r="AE4579" s="49"/>
      <c r="AF4579" s="49"/>
      <c r="AG4579" s="49"/>
      <c r="AH4579" s="49"/>
      <c r="AI4579" s="49"/>
      <c r="AJ4579" s="49"/>
      <c r="AK4579" s="49"/>
      <c r="AL4579" s="49"/>
    </row>
    <row r="4580" spans="1:38">
      <c r="A4580" s="49"/>
      <c r="B4580" s="49"/>
      <c r="C4580" s="49"/>
      <c r="D4580" s="48">
        <v>4</v>
      </c>
      <c r="E4580" s="48" t="s">
        <v>15</v>
      </c>
      <c r="F4580" s="6">
        <v>3</v>
      </c>
      <c r="G4580" s="50"/>
      <c r="P4580" s="48"/>
      <c r="Q4580" s="48"/>
      <c r="R4580" s="48"/>
      <c r="S4580" s="49"/>
      <c r="T4580" s="49"/>
      <c r="U4580" s="49"/>
      <c r="V4580" s="49"/>
      <c r="W4580" s="49"/>
      <c r="X4580" s="49"/>
      <c r="Y4580" s="49"/>
      <c r="Z4580" s="49"/>
      <c r="AA4580" s="49"/>
      <c r="AB4580" s="49"/>
      <c r="AC4580" s="49"/>
      <c r="AD4580" s="49"/>
      <c r="AE4580" s="49"/>
      <c r="AF4580" s="49"/>
      <c r="AG4580" s="49"/>
      <c r="AH4580" s="49"/>
      <c r="AI4580" s="49"/>
      <c r="AJ4580" s="49"/>
      <c r="AK4580" s="49"/>
      <c r="AL4580" s="49"/>
    </row>
    <row r="4581" spans="1:38">
      <c r="A4581" s="54" t="s">
        <v>42</v>
      </c>
      <c r="B4581" s="48">
        <v>2</v>
      </c>
      <c r="C4581" s="48">
        <f>20-B4581</f>
        <v>18</v>
      </c>
      <c r="D4581" s="49"/>
      <c r="E4581" s="49" t="s">
        <v>113</v>
      </c>
      <c r="F4581" s="49">
        <v>14</v>
      </c>
      <c r="G4581" s="7">
        <v>975</v>
      </c>
      <c r="H4581" s="33">
        <v>470</v>
      </c>
      <c r="I4581" s="50">
        <f>G4581+U4581</f>
        <v>1161</v>
      </c>
      <c r="J4581" s="49">
        <f>H4581-U4582</f>
        <v>398</v>
      </c>
      <c r="K4581" s="3" t="s">
        <v>22</v>
      </c>
      <c r="L4581" s="3" t="s">
        <v>21</v>
      </c>
      <c r="M4581" s="49">
        <v>2</v>
      </c>
      <c r="N4581" s="49">
        <v>-1</v>
      </c>
      <c r="O4581" s="49">
        <v>-1</v>
      </c>
      <c r="P4581" s="49">
        <f>COUNT(Q4581:DO4581)</f>
        <v>5</v>
      </c>
      <c r="Q4581" s="49">
        <v>0</v>
      </c>
      <c r="R4581" s="49">
        <f>Q4581+B4556*B4581*(2-2*B4555)</f>
        <v>3</v>
      </c>
      <c r="S4581" s="49">
        <f>Q4581+B4581*B4556</f>
        <v>6</v>
      </c>
      <c r="T4581" s="48">
        <f>S4581+C4581*C4556*(2-2*C4555)</f>
        <v>60.000000000000007</v>
      </c>
      <c r="U4581" s="48">
        <f>S4581+C4581*C4556</f>
        <v>186</v>
      </c>
      <c r="V4581" s="49"/>
      <c r="W4581" s="49"/>
      <c r="X4581" s="49"/>
      <c r="Y4581" s="49"/>
      <c r="Z4581" s="49"/>
      <c r="AA4581" s="49"/>
      <c r="AB4581" s="49"/>
      <c r="AC4581" s="49"/>
      <c r="AD4581" s="49"/>
      <c r="AE4581" s="49"/>
      <c r="AF4581" s="49"/>
      <c r="AG4581" s="49"/>
      <c r="AH4581" s="49"/>
      <c r="AI4581" s="49"/>
      <c r="AJ4581" s="49"/>
      <c r="AK4581" s="49"/>
      <c r="AL4581" s="49"/>
    </row>
    <row r="4582" spans="1:38">
      <c r="A4582" s="49"/>
      <c r="B4582" s="48">
        <f>B4556*B4557*B4555*B4581^2+C4556*C4557*C4555*C4581^2+C4581*B4581*C4556*B4557</f>
        <v>7722</v>
      </c>
      <c r="C4582" s="49"/>
      <c r="D4582" s="49">
        <f>ROUNDUP(6+F4582/2,0)</f>
        <v>16</v>
      </c>
      <c r="E4582" s="49" t="s">
        <v>6</v>
      </c>
      <c r="F4582" s="49">
        <f>LEN(G4582)</f>
        <v>20</v>
      </c>
      <c r="G4582" s="3" t="str">
        <f>"K= "&amp;B4582&amp;"  a= "&amp;B4581&amp;"; e= "&amp;C4581</f>
        <v>K= 7722  a= 2; e= 18</v>
      </c>
      <c r="H4582" s="49">
        <f>H4581-35</f>
        <v>435</v>
      </c>
      <c r="I4582" s="49">
        <f>G4581+15</f>
        <v>990</v>
      </c>
      <c r="J4582" s="49"/>
      <c r="K4582" s="49"/>
      <c r="L4582" s="49"/>
      <c r="M4582" s="49"/>
      <c r="N4582" s="49"/>
      <c r="O4582" s="49"/>
      <c r="P4582" s="49"/>
      <c r="Q4582" s="49">
        <v>0</v>
      </c>
      <c r="R4582" s="49">
        <f>S4582</f>
        <v>36</v>
      </c>
      <c r="S4582" s="49">
        <f>Q4582+C4581*B4581</f>
        <v>36</v>
      </c>
      <c r="T4582" s="48">
        <f>U4582</f>
        <v>72</v>
      </c>
      <c r="U4582" s="48">
        <f>R4582+C4581*C4557</f>
        <v>72</v>
      </c>
      <c r="V4582" s="49"/>
      <c r="W4582" s="49"/>
      <c r="X4582" s="49"/>
      <c r="Y4582" s="49"/>
      <c r="Z4582" s="49"/>
      <c r="AA4582" s="49"/>
      <c r="AB4582" s="49"/>
      <c r="AC4582" s="49"/>
      <c r="AD4582" s="49"/>
      <c r="AE4582" s="49"/>
      <c r="AF4582" s="49"/>
      <c r="AG4582" s="49"/>
      <c r="AH4582" s="49"/>
      <c r="AI4582" s="49"/>
      <c r="AJ4582" s="49"/>
      <c r="AK4582" s="49"/>
      <c r="AL4582" s="49"/>
    </row>
    <row r="4583" spans="1:38">
      <c r="A4583" s="49"/>
      <c r="B4583" s="49"/>
      <c r="C4583" s="49"/>
      <c r="D4583" s="48">
        <v>4</v>
      </c>
      <c r="E4583" s="48" t="s">
        <v>15</v>
      </c>
      <c r="F4583" s="6">
        <v>3</v>
      </c>
      <c r="G4583" s="50"/>
      <c r="P4583" s="48"/>
      <c r="Q4583" s="48"/>
      <c r="R4583" s="48"/>
      <c r="S4583" s="49"/>
      <c r="T4583" s="49"/>
      <c r="U4583" s="49"/>
      <c r="V4583" s="49"/>
      <c r="W4583" s="49"/>
      <c r="X4583" s="49"/>
      <c r="Y4583" s="49"/>
      <c r="Z4583" s="49"/>
      <c r="AA4583" s="49"/>
      <c r="AB4583" s="49"/>
      <c r="AC4583" s="49"/>
      <c r="AD4583" s="49"/>
      <c r="AE4583" s="49"/>
      <c r="AF4583" s="49"/>
      <c r="AG4583" s="49"/>
      <c r="AH4583" s="49"/>
      <c r="AI4583" s="49"/>
      <c r="AJ4583" s="49"/>
      <c r="AK4583" s="49"/>
      <c r="AL4583" s="49"/>
    </row>
    <row r="4584" spans="1:38">
      <c r="A4584" s="54"/>
      <c r="B4584" s="48"/>
      <c r="C4584" s="48"/>
      <c r="D4584" s="49"/>
      <c r="E4584" s="49" t="s">
        <v>113</v>
      </c>
      <c r="F4584" s="49">
        <v>14</v>
      </c>
      <c r="G4584" s="7">
        <v>900</v>
      </c>
      <c r="H4584" s="33">
        <v>600</v>
      </c>
      <c r="I4584" s="50">
        <f>G4584+S4584</f>
        <v>1100</v>
      </c>
      <c r="J4584" s="49">
        <f>H4584-S4585</f>
        <v>560</v>
      </c>
      <c r="K4584" s="3" t="s">
        <v>22</v>
      </c>
      <c r="L4584" s="3" t="s">
        <v>700</v>
      </c>
      <c r="M4584" s="49">
        <v>2</v>
      </c>
      <c r="N4584" s="49">
        <v>-1</v>
      </c>
      <c r="O4584" s="49">
        <v>-1</v>
      </c>
      <c r="P4584" s="49">
        <f>COUNT(Q4584:DO4584)</f>
        <v>3</v>
      </c>
      <c r="Q4584" s="49">
        <v>0</v>
      </c>
      <c r="R4584" s="49">
        <v>60</v>
      </c>
      <c r="S4584" s="49">
        <v>200</v>
      </c>
      <c r="T4584" s="49"/>
      <c r="U4584" s="49"/>
      <c r="V4584" s="49"/>
      <c r="W4584" s="49"/>
      <c r="X4584" s="49"/>
      <c r="Y4584" s="49"/>
      <c r="Z4584" s="49"/>
      <c r="AA4584" s="49"/>
      <c r="AB4584" s="49"/>
      <c r="AC4584" s="49"/>
      <c r="AD4584" s="49"/>
      <c r="AE4584" s="49"/>
      <c r="AF4584" s="49"/>
      <c r="AG4584" s="49"/>
      <c r="AH4584" s="49"/>
      <c r="AI4584" s="49"/>
      <c r="AJ4584" s="49"/>
      <c r="AK4584" s="49"/>
      <c r="AL4584" s="49"/>
    </row>
    <row r="4585" spans="1:38">
      <c r="A4585" s="49"/>
      <c r="B4585" s="49"/>
      <c r="C4585" s="49"/>
      <c r="D4585" s="49">
        <f>ROUNDUP(6+F4585/2,0)</f>
        <v>15</v>
      </c>
      <c r="E4585" s="49" t="s">
        <v>6</v>
      </c>
      <c r="F4585" s="49">
        <f>LEN(G4585)</f>
        <v>18</v>
      </c>
      <c r="G4585" s="3" t="s">
        <v>708</v>
      </c>
      <c r="H4585" s="49">
        <f>H4584-35</f>
        <v>565</v>
      </c>
      <c r="I4585" s="49">
        <f>G4584+15</f>
        <v>915</v>
      </c>
      <c r="J4585" s="49"/>
      <c r="K4585" s="49"/>
      <c r="L4585" s="49"/>
      <c r="M4585" s="49"/>
      <c r="N4585" s="49"/>
      <c r="O4585" s="49"/>
      <c r="P4585" s="49"/>
      <c r="Q4585" s="49">
        <v>0</v>
      </c>
      <c r="R4585" s="49">
        <f>S4585</f>
        <v>40</v>
      </c>
      <c r="S4585" s="49">
        <v>40</v>
      </c>
      <c r="T4585" s="49"/>
      <c r="U4585" s="49"/>
      <c r="V4585" s="49"/>
      <c r="W4585" s="49"/>
      <c r="X4585" s="49"/>
      <c r="Y4585" s="49"/>
      <c r="Z4585" s="49"/>
      <c r="AA4585" s="49"/>
      <c r="AB4585" s="49"/>
      <c r="AC4585" s="49"/>
      <c r="AD4585" s="49"/>
      <c r="AE4585" s="49"/>
      <c r="AF4585" s="49"/>
      <c r="AG4585" s="49"/>
      <c r="AH4585" s="49"/>
      <c r="AI4585" s="49"/>
      <c r="AJ4585" s="49"/>
      <c r="AK4585" s="49"/>
      <c r="AL4585" s="49"/>
    </row>
    <row r="4587" spans="1:38">
      <c r="A4587" s="61" t="s">
        <v>383</v>
      </c>
      <c r="B4587" s="1" t="s">
        <v>709</v>
      </c>
      <c r="C4587" s="48"/>
      <c r="D4587" s="48" t="s">
        <v>449</v>
      </c>
      <c r="E4587" s="48">
        <v>52695</v>
      </c>
      <c r="F4587" s="6">
        <v>39622</v>
      </c>
      <c r="G4587" s="50">
        <v>0</v>
      </c>
      <c r="H4587" s="6">
        <v>0</v>
      </c>
      <c r="I4587" s="6">
        <v>0</v>
      </c>
      <c r="J4587" s="6">
        <v>1220</v>
      </c>
      <c r="K4587" s="6">
        <v>640</v>
      </c>
      <c r="L4587" s="6">
        <v>192</v>
      </c>
      <c r="M4587" s="6">
        <v>0</v>
      </c>
      <c r="N4587" s="6">
        <v>0</v>
      </c>
      <c r="O4587" s="6" t="e">
        <f ca="1">checksummeint(G4587,H4587,I4587,J4587,K4587,L4587,M4587,N4587)</f>
        <v>#NAME?</v>
      </c>
      <c r="P4587" s="49"/>
      <c r="Q4587" s="48"/>
      <c r="R4587" s="48"/>
      <c r="S4587" s="48"/>
      <c r="T4587" s="48"/>
      <c r="U4587" s="48"/>
      <c r="V4587" s="48"/>
      <c r="W4587" s="49"/>
      <c r="X4587" s="49"/>
      <c r="Y4587" s="49"/>
      <c r="Z4587" s="49"/>
      <c r="AA4587" s="49"/>
      <c r="AB4587" s="49"/>
      <c r="AC4587" s="49"/>
      <c r="AD4587" s="49"/>
      <c r="AE4587" s="49"/>
      <c r="AF4587" s="49"/>
      <c r="AG4587" s="49"/>
      <c r="AH4587" s="49"/>
      <c r="AI4587" s="49"/>
      <c r="AJ4587" s="49"/>
      <c r="AK4587" s="49"/>
      <c r="AL4587" s="49"/>
    </row>
    <row r="4588" spans="1:38">
      <c r="A4588" s="48" t="s">
        <v>711</v>
      </c>
      <c r="B4588" s="48"/>
      <c r="C4588" s="48">
        <v>0</v>
      </c>
      <c r="D4588" s="48">
        <v>28</v>
      </c>
      <c r="E4588" s="48" t="s">
        <v>12</v>
      </c>
      <c r="F4588" s="6">
        <v>36</v>
      </c>
      <c r="G4588" s="50">
        <v>0</v>
      </c>
      <c r="H4588" s="6">
        <v>0</v>
      </c>
      <c r="I4588" s="6">
        <v>0</v>
      </c>
      <c r="J4588" s="6">
        <v>400</v>
      </c>
      <c r="K4588" s="6">
        <v>0</v>
      </c>
      <c r="L4588" s="6">
        <v>0</v>
      </c>
      <c r="M4588" s="6">
        <v>0</v>
      </c>
      <c r="N4588" s="6">
        <v>0</v>
      </c>
      <c r="O4588" s="6" t="s">
        <v>19</v>
      </c>
      <c r="P4588" s="49"/>
      <c r="Q4588" s="48"/>
      <c r="R4588" s="48"/>
      <c r="S4588" s="48"/>
      <c r="T4588" s="48"/>
      <c r="U4588" s="48"/>
      <c r="V4588" s="48"/>
      <c r="W4588" s="49"/>
      <c r="X4588" s="49"/>
      <c r="Y4588" s="49"/>
      <c r="Z4588" s="49"/>
      <c r="AA4588" s="49"/>
      <c r="AB4588" s="49"/>
      <c r="AC4588" s="49"/>
      <c r="AD4588" s="49"/>
      <c r="AE4588" s="49"/>
      <c r="AF4588" s="49"/>
      <c r="AG4588" s="49"/>
      <c r="AH4588" s="49"/>
      <c r="AI4588" s="49"/>
      <c r="AJ4588" s="49"/>
      <c r="AK4588" s="49"/>
      <c r="AL4588" s="49"/>
    </row>
    <row r="4589" spans="1:38">
      <c r="A4589" s="60" t="s">
        <v>813</v>
      </c>
      <c r="B4589" s="48"/>
      <c r="C4589" s="48">
        <v>1</v>
      </c>
      <c r="D4589" s="48">
        <v>8</v>
      </c>
      <c r="E4589" s="48" t="s">
        <v>14</v>
      </c>
      <c r="F4589" s="6">
        <v>0</v>
      </c>
      <c r="G4589" s="50">
        <v>2</v>
      </c>
      <c r="H4589" s="6">
        <v>0</v>
      </c>
      <c r="I4589" s="6">
        <v>0</v>
      </c>
      <c r="J4589" s="6">
        <v>0</v>
      </c>
      <c r="M4589" s="44"/>
      <c r="P4589" s="49"/>
      <c r="Q4589" s="48"/>
      <c r="R4589" s="48"/>
      <c r="S4589" s="48"/>
      <c r="T4589" s="48"/>
      <c r="U4589" s="48"/>
      <c r="V4589" s="48"/>
      <c r="W4589" s="49"/>
      <c r="X4589" s="49"/>
      <c r="Y4589" s="49"/>
      <c r="Z4589" s="49"/>
      <c r="AA4589" s="49"/>
      <c r="AB4589" s="49"/>
      <c r="AC4589" s="49"/>
      <c r="AD4589" s="49"/>
      <c r="AE4589" s="49"/>
      <c r="AF4589" s="49"/>
      <c r="AG4589" s="49"/>
      <c r="AH4589" s="49"/>
      <c r="AI4589" s="49"/>
      <c r="AJ4589" s="49"/>
      <c r="AK4589" s="49"/>
      <c r="AL4589" s="49"/>
    </row>
    <row r="4590" spans="1:38">
      <c r="A4590" s="48"/>
      <c r="B4590" s="48"/>
      <c r="C4590" s="48">
        <v>2</v>
      </c>
      <c r="D4590" s="48">
        <v>7</v>
      </c>
      <c r="E4590" s="48" t="s">
        <v>11</v>
      </c>
      <c r="F4590" s="6">
        <v>0</v>
      </c>
      <c r="G4590" s="50">
        <v>-64</v>
      </c>
      <c r="H4590" s="50">
        <v>192</v>
      </c>
      <c r="I4590" s="6">
        <v>0</v>
      </c>
      <c r="N4590" s="50"/>
      <c r="P4590" s="49"/>
      <c r="Q4590" s="48"/>
      <c r="R4590" s="48"/>
      <c r="S4590" s="48"/>
      <c r="T4590" s="48"/>
      <c r="U4590" s="48"/>
      <c r="V4590" s="48"/>
      <c r="W4590" s="49"/>
      <c r="X4590" s="49"/>
      <c r="Y4590" s="49"/>
      <c r="Z4590" s="49"/>
      <c r="AA4590" s="49"/>
      <c r="AB4590" s="49"/>
      <c r="AC4590" s="49"/>
      <c r="AD4590" s="49"/>
      <c r="AE4590" s="49"/>
      <c r="AF4590" s="49"/>
      <c r="AG4590" s="49"/>
      <c r="AH4590" s="49"/>
      <c r="AI4590" s="49"/>
      <c r="AJ4590" s="49"/>
      <c r="AK4590" s="49"/>
      <c r="AL4590" s="49"/>
    </row>
    <row r="4591" spans="1:38">
      <c r="A4591" s="48"/>
      <c r="B4591" s="48"/>
      <c r="C4591" s="48">
        <v>3</v>
      </c>
      <c r="D4591" s="48">
        <v>7</v>
      </c>
      <c r="E4591" s="48" t="s">
        <v>11</v>
      </c>
      <c r="F4591" s="6">
        <v>0</v>
      </c>
      <c r="G4591" s="50">
        <v>0</v>
      </c>
      <c r="H4591" s="50">
        <v>0</v>
      </c>
      <c r="I4591" s="6">
        <v>0</v>
      </c>
      <c r="P4591" s="48"/>
      <c r="Q4591" s="48"/>
      <c r="R4591" s="48"/>
      <c r="S4591" s="48"/>
      <c r="T4591" s="48"/>
      <c r="U4591" s="48"/>
      <c r="V4591" s="48"/>
      <c r="W4591" s="49"/>
      <c r="X4591" s="49"/>
      <c r="Y4591" s="49"/>
      <c r="Z4591" s="49"/>
      <c r="AA4591" s="49"/>
      <c r="AB4591" s="49"/>
      <c r="AC4591" s="49"/>
      <c r="AD4591" s="49"/>
      <c r="AE4591" s="49"/>
      <c r="AF4591" s="49"/>
      <c r="AG4591" s="49"/>
      <c r="AH4591" s="49"/>
      <c r="AI4591" s="49"/>
      <c r="AJ4591" s="49"/>
      <c r="AK4591" s="49"/>
      <c r="AL4591" s="49"/>
    </row>
    <row r="4592" spans="1:38">
      <c r="A4592" s="48"/>
      <c r="B4592" s="48"/>
      <c r="C4592" s="48">
        <v>4</v>
      </c>
      <c r="D4592" s="48">
        <v>28</v>
      </c>
      <c r="E4592" s="48" t="s">
        <v>12</v>
      </c>
      <c r="F4592" s="6">
        <v>25</v>
      </c>
      <c r="G4592" s="50">
        <v>0</v>
      </c>
      <c r="H4592" s="6">
        <v>0</v>
      </c>
      <c r="I4592" s="6">
        <v>0</v>
      </c>
      <c r="J4592" s="6">
        <v>400</v>
      </c>
      <c r="K4592" s="6">
        <v>0</v>
      </c>
      <c r="L4592" s="6">
        <v>0</v>
      </c>
      <c r="M4592" s="6">
        <v>0</v>
      </c>
      <c r="N4592" s="6">
        <v>0</v>
      </c>
      <c r="O4592" s="6" t="s">
        <v>19</v>
      </c>
      <c r="P4592" s="48"/>
      <c r="Q4592" s="48"/>
      <c r="R4592" s="48"/>
      <c r="S4592" s="48"/>
      <c r="T4592" s="48"/>
      <c r="U4592" s="48"/>
      <c r="V4592" s="48"/>
      <c r="W4592" s="49"/>
      <c r="X4592" s="49"/>
      <c r="Y4592" s="49"/>
      <c r="Z4592" s="49"/>
      <c r="AA4592" s="49"/>
      <c r="AB4592" s="49"/>
      <c r="AC4592" s="49"/>
      <c r="AD4592" s="49"/>
      <c r="AE4592" s="49"/>
      <c r="AF4592" s="49"/>
      <c r="AG4592" s="49"/>
      <c r="AH4592" s="49"/>
      <c r="AI4592" s="49"/>
      <c r="AJ4592" s="49"/>
      <c r="AK4592" s="49"/>
      <c r="AL4592" s="49"/>
    </row>
    <row r="4593" spans="1:38">
      <c r="A4593" s="48"/>
      <c r="B4593" s="48"/>
      <c r="C4593" s="48">
        <v>5</v>
      </c>
      <c r="D4593" s="48">
        <v>7</v>
      </c>
      <c r="E4593" s="48" t="s">
        <v>11</v>
      </c>
      <c r="F4593" s="6">
        <v>0</v>
      </c>
      <c r="G4593" s="50">
        <f>257*240</f>
        <v>61680</v>
      </c>
      <c r="H4593" s="50">
        <v>240</v>
      </c>
      <c r="I4593" s="6">
        <v>0</v>
      </c>
      <c r="P4593" s="48"/>
      <c r="Q4593" s="48"/>
      <c r="R4593" s="48"/>
      <c r="S4593" s="48"/>
      <c r="T4593" s="48"/>
      <c r="U4593" s="48"/>
      <c r="V4593" s="48"/>
      <c r="W4593" s="49"/>
      <c r="X4593" s="49"/>
      <c r="Y4593" s="49"/>
      <c r="Z4593" s="49"/>
      <c r="AA4593" s="49"/>
      <c r="AB4593" s="49"/>
      <c r="AC4593" s="49"/>
      <c r="AD4593" s="49"/>
      <c r="AE4593" s="49"/>
      <c r="AF4593" s="49"/>
      <c r="AG4593" s="49"/>
      <c r="AH4593" s="49"/>
      <c r="AI4593" s="49"/>
      <c r="AJ4593" s="49"/>
      <c r="AK4593" s="49"/>
      <c r="AL4593" s="49"/>
    </row>
    <row r="4594" spans="1:38">
      <c r="A4594" s="48"/>
      <c r="B4594" s="48"/>
      <c r="C4594" s="48">
        <v>6</v>
      </c>
      <c r="D4594" s="48">
        <v>8</v>
      </c>
      <c r="E4594" s="48" t="s">
        <v>14</v>
      </c>
      <c r="F4594" s="6">
        <v>0</v>
      </c>
      <c r="G4594" s="50">
        <v>10</v>
      </c>
      <c r="H4594" s="6">
        <v>0</v>
      </c>
      <c r="I4594" s="6">
        <f>G4593</f>
        <v>61680</v>
      </c>
      <c r="J4594" s="6">
        <f>H4593</f>
        <v>240</v>
      </c>
      <c r="P4594" s="48"/>
      <c r="Q4594" s="48"/>
      <c r="R4594" s="48"/>
      <c r="S4594" s="48"/>
      <c r="T4594" s="48"/>
      <c r="U4594" s="48"/>
      <c r="V4594" s="48"/>
      <c r="W4594" s="49"/>
      <c r="X4594" s="49"/>
      <c r="Y4594" s="49"/>
      <c r="Z4594" s="49"/>
      <c r="AA4594" s="49"/>
      <c r="AB4594" s="49"/>
      <c r="AC4594" s="49"/>
      <c r="AD4594" s="49"/>
      <c r="AE4594" s="49"/>
      <c r="AF4594" s="49"/>
      <c r="AG4594" s="49"/>
      <c r="AH4594" s="49"/>
      <c r="AI4594" s="49"/>
      <c r="AJ4594" s="49"/>
      <c r="AK4594" s="49"/>
      <c r="AL4594" s="49"/>
    </row>
    <row r="4595" spans="1:38">
      <c r="A4595" s="48"/>
      <c r="B4595" s="48"/>
      <c r="C4595" s="48"/>
      <c r="D4595" s="48">
        <v>5</v>
      </c>
      <c r="E4595" s="48" t="s">
        <v>59</v>
      </c>
      <c r="F4595" s="6">
        <v>1</v>
      </c>
      <c r="G4595" s="50">
        <v>0</v>
      </c>
      <c r="P4595" s="48"/>
      <c r="Q4595" s="48"/>
      <c r="R4595" s="48"/>
      <c r="S4595" s="48"/>
      <c r="T4595" s="48"/>
      <c r="U4595" s="48"/>
      <c r="V4595" s="48"/>
      <c r="W4595" s="49"/>
      <c r="X4595" s="49"/>
      <c r="Y4595" s="49"/>
      <c r="Z4595" s="49"/>
      <c r="AA4595" s="49"/>
      <c r="AB4595" s="49"/>
      <c r="AC4595" s="49"/>
      <c r="AD4595" s="49"/>
      <c r="AE4595" s="49"/>
      <c r="AF4595" s="49"/>
      <c r="AG4595" s="49"/>
      <c r="AH4595" s="49"/>
      <c r="AI4595" s="49"/>
      <c r="AJ4595" s="49"/>
      <c r="AK4595" s="49"/>
      <c r="AL4595" s="49"/>
    </row>
    <row r="4596" spans="1:38">
      <c r="A4596" s="48"/>
      <c r="B4596" s="48"/>
      <c r="C4596" s="49"/>
      <c r="D4596" s="48">
        <v>4</v>
      </c>
      <c r="E4596" s="48" t="s">
        <v>15</v>
      </c>
      <c r="F4596" s="6">
        <v>5</v>
      </c>
      <c r="G4596" s="49"/>
      <c r="H4596" s="49"/>
      <c r="I4596" s="49"/>
      <c r="J4596" s="49"/>
      <c r="K4596" s="49"/>
      <c r="L4596" s="49"/>
      <c r="P4596" s="48"/>
      <c r="Q4596" s="48"/>
      <c r="R4596" s="48"/>
      <c r="S4596" s="48"/>
      <c r="T4596" s="48"/>
      <c r="U4596" s="48"/>
      <c r="V4596" s="48"/>
      <c r="W4596" s="49"/>
      <c r="X4596" s="49"/>
      <c r="Y4596" s="49"/>
      <c r="Z4596" s="49"/>
      <c r="AA4596" s="49"/>
      <c r="AB4596" s="49"/>
      <c r="AC4596" s="49"/>
      <c r="AD4596" s="49"/>
      <c r="AE4596" s="49"/>
      <c r="AF4596" s="49"/>
      <c r="AG4596" s="49"/>
      <c r="AH4596" s="49"/>
      <c r="AI4596" s="49"/>
      <c r="AJ4596" s="49"/>
      <c r="AK4596" s="49"/>
      <c r="AL4596" s="49"/>
    </row>
    <row r="4597" spans="1:38">
      <c r="A4597" s="48"/>
      <c r="B4597" s="48"/>
      <c r="C4597" s="49"/>
      <c r="D4597" s="48">
        <v>4</v>
      </c>
      <c r="E4597" s="48" t="s">
        <v>15</v>
      </c>
      <c r="F4597" s="6">
        <v>6</v>
      </c>
      <c r="G4597" s="49"/>
      <c r="H4597" s="49"/>
      <c r="I4597" s="49"/>
      <c r="J4597" s="49"/>
      <c r="K4597" s="49"/>
      <c r="L4597" s="49"/>
      <c r="P4597" s="48"/>
      <c r="Q4597" s="48"/>
      <c r="R4597" s="48"/>
      <c r="S4597" s="48"/>
      <c r="T4597" s="48"/>
      <c r="U4597" s="48"/>
      <c r="V4597" s="48"/>
      <c r="W4597" s="49"/>
      <c r="X4597" s="49"/>
      <c r="Y4597" s="49"/>
      <c r="Z4597" s="49"/>
      <c r="AA4597" s="49"/>
      <c r="AB4597" s="49"/>
      <c r="AC4597" s="49"/>
      <c r="AD4597" s="49"/>
      <c r="AE4597" s="49"/>
      <c r="AF4597" s="49"/>
      <c r="AG4597" s="49"/>
      <c r="AH4597" s="49"/>
      <c r="AI4597" s="49"/>
      <c r="AJ4597" s="49"/>
      <c r="AK4597" s="49"/>
      <c r="AL4597" s="49"/>
    </row>
    <row r="4598" spans="1:38">
      <c r="A4598" s="48"/>
      <c r="B4598" s="48"/>
      <c r="C4598" s="49">
        <v>0.86</v>
      </c>
      <c r="D4598" s="49">
        <v>18</v>
      </c>
      <c r="E4598" s="49" t="s">
        <v>111</v>
      </c>
      <c r="F4598" s="49">
        <v>50</v>
      </c>
      <c r="G4598" s="49">
        <f>G4611+0*(I4611-G4611)/AL4611</f>
        <v>350</v>
      </c>
      <c r="H4598" s="49">
        <f>H4611+(R4612-Q4612)*(J4611-H4611)/(MAX(Q4612:AL4612)-Q4612)</f>
        <v>415.27817000847222</v>
      </c>
      <c r="I4598" s="49">
        <f>G4598-C4598*(G4598-K4598)</f>
        <v>178</v>
      </c>
      <c r="J4598" s="49">
        <f>H4598-C4598*(H4598-L4598)</f>
        <v>531.13894380118609</v>
      </c>
      <c r="K4598" s="50">
        <f>(G4616+I4616)/2</f>
        <v>150</v>
      </c>
      <c r="L4598" s="50">
        <f>(H4616+J4616)/2</f>
        <v>550</v>
      </c>
      <c r="P4598" s="48"/>
      <c r="Q4598" s="48"/>
      <c r="R4598" s="48"/>
      <c r="S4598" s="48"/>
      <c r="T4598" s="48"/>
      <c r="U4598" s="48"/>
      <c r="V4598" s="48"/>
      <c r="W4598" s="49"/>
      <c r="X4598" s="49"/>
      <c r="Y4598" s="49"/>
      <c r="Z4598" s="49"/>
      <c r="AA4598" s="49"/>
      <c r="AB4598" s="49"/>
      <c r="AC4598" s="49"/>
      <c r="AD4598" s="49"/>
      <c r="AE4598" s="49"/>
      <c r="AF4598" s="49"/>
      <c r="AG4598" s="49"/>
      <c r="AH4598" s="49"/>
      <c r="AI4598" s="49"/>
      <c r="AJ4598" s="49"/>
      <c r="AK4598" s="49"/>
      <c r="AL4598" s="49"/>
    </row>
    <row r="4599" spans="1:38">
      <c r="A4599" s="48"/>
      <c r="B4599" s="48"/>
      <c r="C4599" s="49">
        <v>0.85</v>
      </c>
      <c r="D4599" s="49">
        <v>18</v>
      </c>
      <c r="E4599" s="49" t="s">
        <v>111</v>
      </c>
      <c r="F4599" s="49">
        <f>F4598</f>
        <v>50</v>
      </c>
      <c r="G4599" s="49">
        <f>G4611+4*(I4611-G4611)/AL4611</f>
        <v>400</v>
      </c>
      <c r="H4599" s="49">
        <f>H4611+(T4612-Q4612)*(J4611-H4611)/(MAX(Q4612:AL4612)-Q4612)</f>
        <v>370.43208133295678</v>
      </c>
      <c r="I4599" s="49">
        <f t="shared" ref="I4599:I4607" si="348">G4599-C4599*(G4599-K4599)</f>
        <v>150.95000000000002</v>
      </c>
      <c r="J4599" s="49">
        <f t="shared" ref="J4599:J4607" si="349">H4599-C4599*(H4599-L4599)</f>
        <v>378.5648121999435</v>
      </c>
      <c r="K4599" s="50">
        <f>(G4619+I4619)/2</f>
        <v>107</v>
      </c>
      <c r="L4599" s="50">
        <f>(H4619+J4619)/2</f>
        <v>380</v>
      </c>
      <c r="P4599" s="48"/>
      <c r="Q4599" s="48"/>
      <c r="R4599" s="48"/>
      <c r="S4599" s="48"/>
      <c r="T4599" s="48"/>
      <c r="U4599" s="48"/>
      <c r="V4599" s="48"/>
      <c r="W4599" s="49"/>
      <c r="X4599" s="49"/>
      <c r="Y4599" s="49"/>
      <c r="Z4599" s="49"/>
      <c r="AA4599" s="49"/>
      <c r="AB4599" s="49"/>
      <c r="AC4599" s="49"/>
      <c r="AD4599" s="49"/>
      <c r="AE4599" s="49"/>
      <c r="AF4599" s="49"/>
      <c r="AG4599" s="49"/>
      <c r="AH4599" s="49"/>
      <c r="AI4599" s="49"/>
      <c r="AJ4599" s="49"/>
      <c r="AK4599" s="49"/>
      <c r="AL4599" s="49"/>
    </row>
    <row r="4600" spans="1:38">
      <c r="A4600" s="48"/>
      <c r="B4600" s="48"/>
      <c r="C4600" s="49">
        <v>0.84</v>
      </c>
      <c r="D4600" s="49">
        <v>18</v>
      </c>
      <c r="E4600" s="49" t="s">
        <v>111</v>
      </c>
      <c r="F4600" s="49">
        <f t="shared" ref="F4600:F4607" si="350">F4599</f>
        <v>50</v>
      </c>
      <c r="G4600" s="49">
        <f>G4611+8*(I4611-G4611)/AL4611</f>
        <v>450</v>
      </c>
      <c r="H4600" s="49">
        <f>H4611+(V4612-Q4612)*(J4611-H4611)/(MAX(Q4612:AL4612)-Q4612)</f>
        <v>336.54334933634567</v>
      </c>
      <c r="I4600" s="49">
        <f t="shared" si="348"/>
        <v>209.76000000000002</v>
      </c>
      <c r="J4600" s="49">
        <f t="shared" si="349"/>
        <v>225.20693589381531</v>
      </c>
      <c r="K4600" s="50">
        <f>(G4622+I4622)/2</f>
        <v>164</v>
      </c>
      <c r="L4600" s="50">
        <f>(H4622+J4622)/2</f>
        <v>204</v>
      </c>
      <c r="P4600" s="48"/>
      <c r="Q4600" s="48"/>
      <c r="R4600" s="48"/>
      <c r="S4600" s="48"/>
      <c r="T4600" s="48"/>
      <c r="U4600" s="48"/>
      <c r="V4600" s="48"/>
      <c r="W4600" s="49"/>
      <c r="X4600" s="49"/>
      <c r="Y4600" s="49"/>
      <c r="Z4600" s="49"/>
      <c r="AA4600" s="49"/>
      <c r="AB4600" s="49"/>
      <c r="AC4600" s="49"/>
      <c r="AD4600" s="49"/>
      <c r="AE4600" s="49"/>
      <c r="AF4600" s="49"/>
      <c r="AG4600" s="49"/>
      <c r="AH4600" s="49"/>
      <c r="AI4600" s="49"/>
      <c r="AJ4600" s="49"/>
      <c r="AK4600" s="49"/>
      <c r="AL4600" s="49"/>
    </row>
    <row r="4601" spans="1:38">
      <c r="A4601" s="48"/>
      <c r="B4601" s="48"/>
      <c r="C4601" s="49">
        <v>0.82</v>
      </c>
      <c r="D4601" s="49">
        <v>18</v>
      </c>
      <c r="E4601" s="49" t="s">
        <v>111</v>
      </c>
      <c r="F4601" s="49">
        <f t="shared" si="350"/>
        <v>50</v>
      </c>
      <c r="G4601" s="49">
        <f>G4611+12*(I4611-G4611)/AL4611</f>
        <v>500</v>
      </c>
      <c r="H4601" s="49">
        <f>H4611+(X4612-Q4612)*(J4611-H4611)/(MAX(Q4612:AL4612)-Q4612)</f>
        <v>313.66845523863316</v>
      </c>
      <c r="I4601" s="49">
        <f t="shared" si="348"/>
        <v>377.82</v>
      </c>
      <c r="J4601" s="49">
        <f t="shared" si="349"/>
        <v>140.10032194295397</v>
      </c>
      <c r="K4601" s="50">
        <f>(G4625+I4625)/2</f>
        <v>351</v>
      </c>
      <c r="L4601" s="50">
        <f>(H4625+J4625)/2</f>
        <v>102</v>
      </c>
      <c r="P4601" s="48"/>
      <c r="Q4601" s="48"/>
      <c r="R4601" s="48"/>
      <c r="S4601" s="48"/>
      <c r="T4601" s="48"/>
      <c r="U4601" s="48"/>
      <c r="V4601" s="48"/>
      <c r="W4601" s="49"/>
      <c r="X4601" s="49"/>
      <c r="Y4601" s="49"/>
      <c r="Z4601" s="49"/>
      <c r="AA4601" s="49"/>
      <c r="AB4601" s="49"/>
      <c r="AC4601" s="49"/>
      <c r="AD4601" s="49"/>
      <c r="AE4601" s="49"/>
      <c r="AF4601" s="49"/>
      <c r="AG4601" s="49"/>
      <c r="AH4601" s="49"/>
      <c r="AI4601" s="49"/>
      <c r="AJ4601" s="49"/>
      <c r="AK4601" s="49"/>
      <c r="AL4601" s="49"/>
    </row>
    <row r="4602" spans="1:38">
      <c r="A4602" s="48"/>
      <c r="B4602" s="48"/>
      <c r="C4602" s="49">
        <v>0.9</v>
      </c>
      <c r="D4602" s="49">
        <v>18</v>
      </c>
      <c r="E4602" s="49" t="s">
        <v>111</v>
      </c>
      <c r="F4602" s="49">
        <f t="shared" si="350"/>
        <v>50</v>
      </c>
      <c r="G4602" s="49">
        <f>G4611+18*(I4611-G4611)/AL4611</f>
        <v>575</v>
      </c>
      <c r="H4602" s="49">
        <f>H4611+(AA4612-Q4612)*(J4611-H4611)/(MAX(Q4612:AL4612)-Q4612)</f>
        <v>300</v>
      </c>
      <c r="I4602" s="49">
        <f t="shared" si="348"/>
        <v>562.85</v>
      </c>
      <c r="J4602" s="49">
        <f t="shared" si="349"/>
        <v>85.35</v>
      </c>
      <c r="K4602" s="50">
        <f>(G4628+I4628)/2</f>
        <v>561.5</v>
      </c>
      <c r="L4602" s="50">
        <f>(H4628+J4628)/2</f>
        <v>61.5</v>
      </c>
      <c r="P4602" s="48"/>
      <c r="Q4602" s="48"/>
      <c r="R4602" s="48"/>
      <c r="S4602" s="48"/>
      <c r="T4602" s="48"/>
      <c r="U4602" s="48"/>
      <c r="V4602" s="48"/>
      <c r="W4602" s="49"/>
      <c r="X4602" s="49"/>
      <c r="Y4602" s="49"/>
      <c r="Z4602" s="49"/>
      <c r="AA4602" s="49"/>
      <c r="AB4602" s="49"/>
      <c r="AC4602" s="49"/>
      <c r="AD4602" s="49"/>
      <c r="AE4602" s="49"/>
      <c r="AF4602" s="49"/>
      <c r="AG4602" s="49"/>
      <c r="AH4602" s="49"/>
      <c r="AI4602" s="49"/>
      <c r="AJ4602" s="49"/>
      <c r="AK4602" s="49"/>
      <c r="AL4602" s="49"/>
    </row>
    <row r="4603" spans="1:38">
      <c r="A4603" s="48"/>
      <c r="B4603" s="48"/>
      <c r="C4603" s="49">
        <v>0.84</v>
      </c>
      <c r="D4603" s="49">
        <v>18</v>
      </c>
      <c r="E4603" s="49" t="s">
        <v>111</v>
      </c>
      <c r="F4603" s="49">
        <f t="shared" si="350"/>
        <v>50</v>
      </c>
      <c r="G4603" s="49">
        <f>G4611+20*(I4611-G4611)/AL4611</f>
        <v>600</v>
      </c>
      <c r="H4603" s="49">
        <f>H4611+(AB4612-Q4612)*(J4611-H4611)/(MAX(Q4612:AL4612)-Q4612)</f>
        <v>300.90369951990965</v>
      </c>
      <c r="I4603" s="49">
        <f t="shared" si="348"/>
        <v>755.4</v>
      </c>
      <c r="J4603" s="49">
        <f t="shared" si="349"/>
        <v>115.34459192318556</v>
      </c>
      <c r="K4603" s="50">
        <f>(G4631+I4631)/2</f>
        <v>785</v>
      </c>
      <c r="L4603" s="50">
        <f>(H4631+J4631)/2</f>
        <v>80</v>
      </c>
      <c r="P4603" s="48"/>
      <c r="Q4603" s="48"/>
      <c r="R4603" s="48"/>
      <c r="S4603" s="48"/>
      <c r="T4603" s="48"/>
      <c r="U4603" s="48"/>
      <c r="V4603" s="48"/>
      <c r="W4603" s="49"/>
      <c r="X4603" s="49"/>
      <c r="Y4603" s="49"/>
      <c r="Z4603" s="49"/>
      <c r="AA4603" s="49"/>
      <c r="AB4603" s="49"/>
      <c r="AC4603" s="49"/>
      <c r="AD4603" s="49"/>
      <c r="AE4603" s="49"/>
      <c r="AF4603" s="49"/>
      <c r="AG4603" s="49"/>
      <c r="AH4603" s="49"/>
      <c r="AI4603" s="49"/>
      <c r="AJ4603" s="49"/>
      <c r="AK4603" s="49"/>
      <c r="AL4603" s="49"/>
    </row>
    <row r="4604" spans="1:38">
      <c r="A4604" s="48"/>
      <c r="B4604" s="48"/>
      <c r="C4604" s="49">
        <v>0.82</v>
      </c>
      <c r="D4604" s="49">
        <v>18</v>
      </c>
      <c r="E4604" s="49" t="s">
        <v>111</v>
      </c>
      <c r="F4604" s="49">
        <f t="shared" si="350"/>
        <v>50</v>
      </c>
      <c r="G4604" s="49">
        <f>G4611+28*(I4611-G4611)/AL4611</f>
        <v>700</v>
      </c>
      <c r="H4604" s="49">
        <f>H4611+(AF4612-Q4612)*(J4611-H4611)/(MAX(Q4612:AL4612)-Q4612)</f>
        <v>332.1942953967806</v>
      </c>
      <c r="I4604" s="49">
        <f t="shared" si="348"/>
        <v>887.78</v>
      </c>
      <c r="J4604" s="49">
        <f t="shared" si="349"/>
        <v>210.6749731714205</v>
      </c>
      <c r="K4604" s="50">
        <f>(G4634+I4634)/2</f>
        <v>929</v>
      </c>
      <c r="L4604" s="50">
        <f>(H4634+J4634)/2</f>
        <v>184</v>
      </c>
      <c r="P4604" s="48"/>
      <c r="Q4604" s="48"/>
      <c r="R4604" s="48"/>
      <c r="S4604" s="48"/>
      <c r="T4604" s="48"/>
      <c r="U4604" s="48"/>
      <c r="V4604" s="48"/>
      <c r="W4604" s="49"/>
      <c r="X4604" s="49"/>
      <c r="Y4604" s="49"/>
      <c r="Z4604" s="49"/>
      <c r="AA4604" s="49"/>
      <c r="AB4604" s="49"/>
      <c r="AC4604" s="49"/>
      <c r="AD4604" s="49"/>
      <c r="AE4604" s="49"/>
      <c r="AF4604" s="49"/>
      <c r="AG4604" s="49"/>
      <c r="AH4604" s="49"/>
      <c r="AI4604" s="49"/>
      <c r="AJ4604" s="49"/>
      <c r="AK4604" s="49"/>
      <c r="AL4604" s="49"/>
    </row>
    <row r="4605" spans="1:38">
      <c r="A4605" s="48"/>
      <c r="B4605" s="48"/>
      <c r="C4605" s="49">
        <v>0.82</v>
      </c>
      <c r="D4605" s="49">
        <v>18</v>
      </c>
      <c r="E4605" s="49" t="s">
        <v>111</v>
      </c>
      <c r="F4605" s="49">
        <f t="shared" si="350"/>
        <v>50</v>
      </c>
      <c r="G4605" s="49">
        <f>G4611+32*(I4611-G4611)/AL4611</f>
        <v>750</v>
      </c>
      <c r="H4605" s="49">
        <f>H4611+(AH4612-Q4612)*(J4611-H4611)/(MAX(Q4612:AL4612)-Q4612)</f>
        <v>364.33210957356675</v>
      </c>
      <c r="I4605" s="49">
        <f t="shared" si="348"/>
        <v>976.31999999999994</v>
      </c>
      <c r="J4605" s="49">
        <f t="shared" si="349"/>
        <v>313.21977972324203</v>
      </c>
      <c r="K4605" s="50">
        <f>(G4637+I4637)/2</f>
        <v>1026</v>
      </c>
      <c r="L4605" s="50">
        <f>(H4637+J4637)/2</f>
        <v>302</v>
      </c>
      <c r="P4605" s="48"/>
      <c r="Q4605" s="48"/>
      <c r="R4605" s="48"/>
      <c r="S4605" s="48"/>
      <c r="T4605" s="48"/>
      <c r="U4605" s="48"/>
      <c r="V4605" s="48"/>
      <c r="W4605" s="49"/>
      <c r="X4605" s="49"/>
      <c r="Y4605" s="49"/>
      <c r="Z4605" s="49"/>
      <c r="AA4605" s="49"/>
      <c r="AB4605" s="49"/>
      <c r="AC4605" s="49"/>
      <c r="AD4605" s="49"/>
      <c r="AE4605" s="49"/>
      <c r="AF4605" s="49"/>
      <c r="AG4605" s="49"/>
      <c r="AH4605" s="49"/>
      <c r="AI4605" s="49"/>
      <c r="AJ4605" s="49"/>
      <c r="AK4605" s="49"/>
      <c r="AL4605" s="49"/>
    </row>
    <row r="4606" spans="1:38">
      <c r="A4606" s="48"/>
      <c r="B4606" s="48"/>
      <c r="C4606" s="49">
        <v>0.84</v>
      </c>
      <c r="D4606" s="49">
        <v>18</v>
      </c>
      <c r="E4606" s="49" t="s">
        <v>111</v>
      </c>
      <c r="F4606" s="49">
        <f t="shared" si="350"/>
        <v>50</v>
      </c>
      <c r="G4606" s="49">
        <f>G4611+36*(I4611-G4611)/AL4611</f>
        <v>800</v>
      </c>
      <c r="H4606" s="49">
        <f>H4611+(AJ4612-Q4612)*(J4611-H4611)/(MAX(Q4612:AL4612)-Q4612)</f>
        <v>407.48376164925162</v>
      </c>
      <c r="I4606" s="49">
        <f t="shared" si="348"/>
        <v>1012.52</v>
      </c>
      <c r="J4606" s="49">
        <f t="shared" si="349"/>
        <v>429.75740186388026</v>
      </c>
      <c r="K4606" s="50">
        <f>(G4640+I4640)/2</f>
        <v>1053</v>
      </c>
      <c r="L4606" s="50">
        <f>(H4640+J4640)/2</f>
        <v>434</v>
      </c>
      <c r="P4606" s="48"/>
      <c r="Q4606" s="48"/>
      <c r="R4606" s="48"/>
      <c r="S4606" s="48"/>
      <c r="T4606" s="48"/>
      <c r="U4606" s="48"/>
      <c r="V4606" s="48"/>
      <c r="W4606" s="49"/>
      <c r="X4606" s="49"/>
      <c r="Y4606" s="49"/>
      <c r="Z4606" s="49"/>
      <c r="AA4606" s="49"/>
      <c r="AB4606" s="49"/>
      <c r="AC4606" s="49"/>
      <c r="AD4606" s="49"/>
      <c r="AE4606" s="49"/>
      <c r="AF4606" s="49"/>
      <c r="AG4606" s="49"/>
      <c r="AH4606" s="49"/>
      <c r="AI4606" s="49"/>
      <c r="AJ4606" s="49"/>
      <c r="AK4606" s="49"/>
      <c r="AL4606" s="49"/>
    </row>
    <row r="4607" spans="1:38">
      <c r="A4607" s="48"/>
      <c r="B4607" s="48"/>
      <c r="C4607" s="49">
        <v>0.9</v>
      </c>
      <c r="D4607" s="49">
        <v>18</v>
      </c>
      <c r="E4607" s="49" t="s">
        <v>111</v>
      </c>
      <c r="F4607" s="49">
        <f t="shared" si="350"/>
        <v>50</v>
      </c>
      <c r="G4607" s="49">
        <f>G4611+40*(I4611-G4611)/AL4611</f>
        <v>850</v>
      </c>
      <c r="H4607" s="49">
        <f>H4611+(AL4612-Q4612)*(J4611-H4611)/(MAX(Q4612:AL4612)-Q4612)</f>
        <v>461.59277040384075</v>
      </c>
      <c r="I4607" s="49">
        <f t="shared" si="348"/>
        <v>1003</v>
      </c>
      <c r="J4607" s="49">
        <f t="shared" si="349"/>
        <v>568.15927704038404</v>
      </c>
      <c r="K4607" s="50">
        <f>(G4643+I4643)/2</f>
        <v>1020</v>
      </c>
      <c r="L4607" s="50">
        <f>(H4643+J4643)/2</f>
        <v>580</v>
      </c>
      <c r="P4607" s="48"/>
      <c r="Q4607" s="48"/>
      <c r="R4607" s="48"/>
      <c r="S4607" s="48"/>
      <c r="T4607" s="48"/>
      <c r="U4607" s="48"/>
      <c r="V4607" s="48"/>
      <c r="W4607" s="49"/>
      <c r="X4607" s="49"/>
      <c r="Y4607" s="49"/>
      <c r="Z4607" s="49"/>
      <c r="AA4607" s="49"/>
      <c r="AB4607" s="49"/>
      <c r="AC4607" s="49"/>
      <c r="AD4607" s="49"/>
      <c r="AE4607" s="49"/>
      <c r="AF4607" s="49"/>
      <c r="AG4607" s="49"/>
      <c r="AH4607" s="49"/>
      <c r="AI4607" s="49"/>
      <c r="AJ4607" s="49"/>
      <c r="AK4607" s="49"/>
      <c r="AL4607" s="49"/>
    </row>
    <row r="4608" spans="1:38">
      <c r="A4608" s="49"/>
      <c r="B4608" s="49"/>
      <c r="C4608" s="49"/>
      <c r="D4608" s="48">
        <v>4</v>
      </c>
      <c r="E4608" s="48" t="s">
        <v>15</v>
      </c>
      <c r="F4608" s="6">
        <v>0</v>
      </c>
      <c r="G4608" s="50"/>
      <c r="P4608" s="48"/>
      <c r="Q4608" s="48"/>
      <c r="R4608" s="48"/>
      <c r="S4608" s="49"/>
      <c r="T4608" s="49"/>
      <c r="U4608" s="49"/>
      <c r="V4608" s="48"/>
      <c r="W4608" s="49"/>
      <c r="X4608" s="49"/>
      <c r="Y4608" s="49"/>
      <c r="Z4608" s="49"/>
      <c r="AA4608" s="49"/>
      <c r="AB4608" s="49"/>
      <c r="AC4608" s="49"/>
      <c r="AD4608" s="49"/>
      <c r="AE4608" s="49"/>
      <c r="AF4608" s="49"/>
      <c r="AG4608" s="49"/>
      <c r="AH4608" s="49"/>
      <c r="AI4608" s="49"/>
      <c r="AJ4608" s="49"/>
      <c r="AK4608" s="49"/>
      <c r="AL4608" s="49"/>
    </row>
    <row r="4609" spans="1:38">
      <c r="A4609" s="49"/>
      <c r="B4609" s="49"/>
      <c r="C4609" s="49"/>
      <c r="D4609" s="48">
        <v>4</v>
      </c>
      <c r="E4609" s="48" t="s">
        <v>15</v>
      </c>
      <c r="F4609" s="6">
        <v>1</v>
      </c>
      <c r="G4609" s="50"/>
      <c r="P4609" s="48"/>
      <c r="Q4609" s="48"/>
      <c r="R4609" s="48"/>
      <c r="S4609" s="49"/>
      <c r="T4609" s="49"/>
      <c r="U4609" s="49"/>
      <c r="V4609" s="48"/>
      <c r="W4609" s="49"/>
      <c r="X4609" s="49"/>
      <c r="Y4609" s="49"/>
      <c r="Z4609" s="49"/>
      <c r="AA4609" s="49"/>
      <c r="AB4609" s="49"/>
      <c r="AC4609" s="49"/>
      <c r="AD4609" s="49"/>
      <c r="AE4609" s="49"/>
      <c r="AF4609" s="49"/>
      <c r="AG4609" s="49"/>
      <c r="AH4609" s="49"/>
      <c r="AI4609" s="49"/>
      <c r="AJ4609" s="49"/>
      <c r="AK4609" s="49"/>
      <c r="AL4609" s="49"/>
    </row>
    <row r="4610" spans="1:38">
      <c r="A4610" s="49"/>
      <c r="B4610" s="49"/>
      <c r="C4610" s="49"/>
      <c r="D4610" s="48">
        <v>4</v>
      </c>
      <c r="E4610" s="48" t="s">
        <v>15</v>
      </c>
      <c r="F4610" s="6">
        <v>3</v>
      </c>
      <c r="G4610" s="50"/>
      <c r="P4610" s="48"/>
      <c r="Q4610" s="48"/>
      <c r="R4610" s="48"/>
      <c r="S4610" s="49"/>
      <c r="T4610" s="49"/>
      <c r="U4610" s="49"/>
      <c r="V4610" s="48"/>
      <c r="W4610" s="49"/>
      <c r="X4610" s="49"/>
      <c r="Y4610" s="49"/>
      <c r="Z4610" s="49"/>
      <c r="AA4610" s="49"/>
      <c r="AB4610" s="49"/>
      <c r="AC4610" s="49"/>
      <c r="AD4610" s="49"/>
      <c r="AE4610" s="49"/>
      <c r="AF4610" s="49"/>
      <c r="AG4610" s="49"/>
      <c r="AH4610" s="49"/>
      <c r="AI4610" s="49"/>
      <c r="AJ4610" s="49"/>
      <c r="AK4610" s="49"/>
      <c r="AL4610" s="49"/>
    </row>
    <row r="4611" spans="1:38">
      <c r="A4611" s="49"/>
      <c r="B4611" s="49"/>
      <c r="C4611" s="49"/>
      <c r="D4611" s="49"/>
      <c r="E4611" s="49" t="s">
        <v>113</v>
      </c>
      <c r="F4611" s="49">
        <v>20</v>
      </c>
      <c r="G4611" s="49">
        <v>350</v>
      </c>
      <c r="H4611" s="50">
        <v>500</v>
      </c>
      <c r="I4611" s="50">
        <f>G4611+500</f>
        <v>850</v>
      </c>
      <c r="J4611" s="49">
        <f>H4611-200</f>
        <v>300</v>
      </c>
      <c r="K4611" s="49" t="s">
        <v>16</v>
      </c>
      <c r="L4611" s="3" t="s">
        <v>263</v>
      </c>
      <c r="M4611" s="49">
        <v>2</v>
      </c>
      <c r="N4611" s="49">
        <v>10</v>
      </c>
      <c r="O4611" s="49">
        <v>-1</v>
      </c>
      <c r="P4611" s="49">
        <f>COUNT(Q4611:DO4611)</f>
        <v>22</v>
      </c>
      <c r="Q4611" s="49">
        <v>0</v>
      </c>
      <c r="R4611" s="49">
        <v>0</v>
      </c>
      <c r="S4611" s="49">
        <f>R4611+2</f>
        <v>2</v>
      </c>
      <c r="T4611" s="49">
        <f t="shared" ref="T4611:AL4611" si="351">S4611+2</f>
        <v>4</v>
      </c>
      <c r="U4611" s="49">
        <f t="shared" si="351"/>
        <v>6</v>
      </c>
      <c r="V4611" s="49">
        <f t="shared" si="351"/>
        <v>8</v>
      </c>
      <c r="W4611" s="49">
        <f t="shared" si="351"/>
        <v>10</v>
      </c>
      <c r="X4611" s="49">
        <f t="shared" si="351"/>
        <v>12</v>
      </c>
      <c r="Y4611" s="49">
        <f t="shared" si="351"/>
        <v>14</v>
      </c>
      <c r="Z4611" s="49">
        <f t="shared" si="351"/>
        <v>16</v>
      </c>
      <c r="AA4611" s="49">
        <f t="shared" si="351"/>
        <v>18</v>
      </c>
      <c r="AB4611" s="49">
        <f t="shared" si="351"/>
        <v>20</v>
      </c>
      <c r="AC4611" s="49">
        <f t="shared" si="351"/>
        <v>22</v>
      </c>
      <c r="AD4611" s="49">
        <f t="shared" si="351"/>
        <v>24</v>
      </c>
      <c r="AE4611" s="49">
        <f t="shared" si="351"/>
        <v>26</v>
      </c>
      <c r="AF4611" s="49">
        <f t="shared" si="351"/>
        <v>28</v>
      </c>
      <c r="AG4611" s="49">
        <f t="shared" si="351"/>
        <v>30</v>
      </c>
      <c r="AH4611" s="49">
        <f t="shared" si="351"/>
        <v>32</v>
      </c>
      <c r="AI4611" s="49">
        <f t="shared" si="351"/>
        <v>34</v>
      </c>
      <c r="AJ4611" s="49">
        <f t="shared" si="351"/>
        <v>36</v>
      </c>
      <c r="AK4611" s="49">
        <f t="shared" si="351"/>
        <v>38</v>
      </c>
      <c r="AL4611" s="49">
        <f t="shared" si="351"/>
        <v>40</v>
      </c>
    </row>
    <row r="4612" spans="1:38">
      <c r="A4612" s="48"/>
      <c r="B4612" s="49"/>
      <c r="C4612" s="49"/>
      <c r="D4612" s="49"/>
      <c r="E4612" s="49" t="s">
        <v>517</v>
      </c>
      <c r="F4612" s="49" t="s">
        <v>712</v>
      </c>
      <c r="G4612" s="50">
        <f>G4611+100</f>
        <v>450</v>
      </c>
      <c r="H4612" s="50">
        <f>J4611+50</f>
        <v>350</v>
      </c>
      <c r="I4612" s="49">
        <f>H4612+35</f>
        <v>385</v>
      </c>
      <c r="J4612" s="49">
        <f>I4612+35</f>
        <v>420</v>
      </c>
      <c r="K4612" s="49">
        <f>J4612+35</f>
        <v>455</v>
      </c>
      <c r="L4612" s="49"/>
      <c r="M4612" s="49"/>
      <c r="N4612" s="49"/>
      <c r="O4612" s="3" t="s">
        <v>721</v>
      </c>
      <c r="P4612" s="49"/>
      <c r="Q4612" s="49">
        <v>7000</v>
      </c>
      <c r="R4612" s="49">
        <v>8500</v>
      </c>
      <c r="S4612" s="49">
        <v>8921</v>
      </c>
      <c r="T4612" s="49">
        <v>9294</v>
      </c>
      <c r="U4612" s="49">
        <v>9618</v>
      </c>
      <c r="V4612" s="49">
        <v>9894</v>
      </c>
      <c r="W4612" s="49">
        <v>10121</v>
      </c>
      <c r="X4612" s="49">
        <v>10299</v>
      </c>
      <c r="Y4612" s="49">
        <v>10428</v>
      </c>
      <c r="Z4612" s="49">
        <v>10509</v>
      </c>
      <c r="AA4612" s="49">
        <v>10541</v>
      </c>
      <c r="AB4612" s="49">
        <v>10525</v>
      </c>
      <c r="AC4612" s="49">
        <v>10459</v>
      </c>
      <c r="AD4612" s="49">
        <v>10345</v>
      </c>
      <c r="AE4612" s="49">
        <v>10182</v>
      </c>
      <c r="AF4612" s="49">
        <v>9971</v>
      </c>
      <c r="AG4612" s="49">
        <v>9711</v>
      </c>
      <c r="AH4612" s="49">
        <v>9402</v>
      </c>
      <c r="AI4612" s="49">
        <v>9044</v>
      </c>
      <c r="AJ4612" s="49">
        <v>8638</v>
      </c>
      <c r="AK4612" s="49">
        <v>8183</v>
      </c>
      <c r="AL4612" s="49">
        <v>7680</v>
      </c>
    </row>
    <row r="4613" spans="1:38">
      <c r="A4613" s="48"/>
      <c r="B4613" s="1" t="s">
        <v>811</v>
      </c>
      <c r="C4613" s="1" t="s">
        <v>713</v>
      </c>
      <c r="D4613" s="48">
        <v>4</v>
      </c>
      <c r="E4613" s="48" t="s">
        <v>15</v>
      </c>
      <c r="F4613" s="6">
        <v>1</v>
      </c>
      <c r="G4613" s="49"/>
      <c r="H4613" s="49"/>
      <c r="I4613" s="49"/>
      <c r="J4613" s="49"/>
      <c r="K4613" s="49"/>
      <c r="L4613" s="49"/>
      <c r="M4613" s="49"/>
      <c r="N4613" s="49"/>
      <c r="O4613" s="3"/>
      <c r="P4613" s="49"/>
      <c r="Q4613" s="49"/>
      <c r="R4613" s="49"/>
      <c r="S4613" s="49"/>
      <c r="T4613" s="49"/>
      <c r="U4613" s="49"/>
      <c r="V4613" s="49"/>
      <c r="W4613" s="49"/>
      <c r="X4613" s="49"/>
      <c r="Y4613" s="49"/>
      <c r="Z4613" s="49"/>
      <c r="AA4613" s="49"/>
      <c r="AB4613" s="49"/>
      <c r="AC4613" s="49"/>
      <c r="AD4613" s="49"/>
      <c r="AE4613" s="49"/>
      <c r="AF4613" s="49"/>
      <c r="AG4613" s="49"/>
      <c r="AH4613" s="49"/>
      <c r="AI4613" s="49"/>
      <c r="AJ4613" s="49"/>
      <c r="AK4613" s="49"/>
      <c r="AL4613" s="49"/>
    </row>
    <row r="4614" spans="1:38">
      <c r="A4614" s="1" t="s">
        <v>18</v>
      </c>
      <c r="B4614" s="48">
        <v>0.85</v>
      </c>
      <c r="C4614" s="48">
        <v>0.8</v>
      </c>
      <c r="D4614" s="48">
        <v>4</v>
      </c>
      <c r="E4614" s="48" t="s">
        <v>15</v>
      </c>
      <c r="F4614" s="6">
        <v>3</v>
      </c>
      <c r="G4614" s="49"/>
      <c r="H4614" s="48"/>
      <c r="I4614" s="50"/>
      <c r="J4614" s="49"/>
      <c r="K4614" s="49"/>
      <c r="L4614" s="49"/>
      <c r="M4614" s="49"/>
      <c r="N4614" s="49"/>
      <c r="O4614" s="49"/>
      <c r="P4614" s="49"/>
      <c r="Q4614" s="49"/>
      <c r="R4614" s="49"/>
      <c r="S4614" s="49"/>
      <c r="T4614" s="49"/>
      <c r="U4614" s="49"/>
      <c r="V4614" s="49"/>
      <c r="W4614" s="47"/>
      <c r="X4614" s="47"/>
      <c r="Y4614" s="47"/>
      <c r="Z4614" s="47"/>
      <c r="AA4614" s="47"/>
      <c r="AB4614" s="47"/>
      <c r="AC4614" s="47"/>
      <c r="AD4614" s="47"/>
      <c r="AE4614" s="47"/>
      <c r="AF4614" s="47"/>
      <c r="AG4614" s="47"/>
      <c r="AH4614" s="47"/>
      <c r="AI4614" s="47"/>
      <c r="AJ4614" s="47"/>
      <c r="AK4614" s="47"/>
      <c r="AL4614" s="47"/>
    </row>
    <row r="4615" spans="1:38">
      <c r="A4615" s="1" t="s">
        <v>22</v>
      </c>
      <c r="B4615" s="48">
        <v>10</v>
      </c>
      <c r="C4615" s="48">
        <v>6</v>
      </c>
      <c r="D4615" s="48">
        <v>4</v>
      </c>
      <c r="E4615" s="48" t="s">
        <v>15</v>
      </c>
      <c r="F4615" s="6">
        <v>4</v>
      </c>
      <c r="G4615" s="49"/>
      <c r="H4615" s="50"/>
      <c r="I4615" s="50"/>
      <c r="J4615" s="49"/>
      <c r="K4615" s="49"/>
      <c r="L4615" s="49"/>
      <c r="M4615" s="49"/>
      <c r="N4615" s="49"/>
      <c r="O4615" s="49"/>
      <c r="P4615" s="49"/>
      <c r="Q4615" s="49"/>
      <c r="R4615" s="49"/>
      <c r="S4615" s="49"/>
      <c r="T4615" s="49"/>
      <c r="U4615" s="49"/>
      <c r="V4615" s="49"/>
      <c r="W4615" s="49"/>
      <c r="X4615" s="49"/>
      <c r="Y4615" s="49"/>
      <c r="Z4615" s="49"/>
      <c r="AA4615" s="49"/>
      <c r="AB4615" s="49"/>
      <c r="AC4615" s="49"/>
      <c r="AD4615" s="49"/>
      <c r="AE4615" s="49"/>
      <c r="AF4615" s="49"/>
      <c r="AG4615" s="49"/>
      <c r="AH4615" s="49"/>
      <c r="AI4615" s="49"/>
      <c r="AJ4615" s="49"/>
      <c r="AK4615" s="49"/>
      <c r="AL4615" s="49"/>
    </row>
    <row r="4616" spans="1:38">
      <c r="A4616" s="1" t="s">
        <v>21</v>
      </c>
      <c r="B4616" s="48">
        <v>10</v>
      </c>
      <c r="C4616" s="48">
        <v>1</v>
      </c>
      <c r="D4616" s="49"/>
      <c r="E4616" s="49" t="s">
        <v>113</v>
      </c>
      <c r="F4616" s="49">
        <v>14</v>
      </c>
      <c r="G4616" s="7">
        <v>100</v>
      </c>
      <c r="H4616" s="33">
        <v>600</v>
      </c>
      <c r="I4616" s="50">
        <f>G4616+S4616</f>
        <v>200</v>
      </c>
      <c r="J4616" s="49">
        <f>H4616-S4617</f>
        <v>500</v>
      </c>
      <c r="K4616" s="3" t="s">
        <v>22</v>
      </c>
      <c r="L4616" s="49" t="s">
        <v>728</v>
      </c>
      <c r="M4616" s="49">
        <v>2</v>
      </c>
      <c r="N4616" s="49">
        <v>-1</v>
      </c>
      <c r="O4616" s="49">
        <v>-1</v>
      </c>
      <c r="P4616" s="49">
        <f>COUNT(Q4616:DO4616)</f>
        <v>3</v>
      </c>
      <c r="Q4616" s="49">
        <v>0</v>
      </c>
      <c r="R4616" s="49">
        <f>Q4616+B4615*10*(2-2*B4614)</f>
        <v>30.000000000000004</v>
      </c>
      <c r="S4616" s="49">
        <f>10*B4615</f>
        <v>100</v>
      </c>
      <c r="T4616" s="49"/>
      <c r="U4616" s="49"/>
      <c r="V4616" s="49"/>
      <c r="W4616" s="49"/>
      <c r="X4616" s="49"/>
      <c r="Y4616" s="49"/>
      <c r="Z4616" s="49"/>
      <c r="AA4616" s="49"/>
      <c r="AB4616" s="49"/>
      <c r="AC4616" s="49"/>
      <c r="AD4616" s="49"/>
      <c r="AE4616" s="49"/>
      <c r="AF4616" s="49"/>
      <c r="AG4616" s="49"/>
      <c r="AH4616" s="49"/>
      <c r="AI4616" s="49"/>
      <c r="AJ4616" s="49"/>
      <c r="AK4616" s="49"/>
      <c r="AL4616" s="49"/>
    </row>
    <row r="4617" spans="1:38">
      <c r="A4617" s="49"/>
      <c r="B4617" s="49"/>
      <c r="C4617" s="49"/>
      <c r="D4617" s="49"/>
      <c r="E4617" s="3" t="s">
        <v>517</v>
      </c>
      <c r="F4617" s="3" t="s">
        <v>714</v>
      </c>
      <c r="G4617" s="49">
        <f>G4616+15</f>
        <v>115</v>
      </c>
      <c r="H4617" s="49">
        <f>H4616-55</f>
        <v>545</v>
      </c>
      <c r="I4617" s="49">
        <f>H4617+20</f>
        <v>565</v>
      </c>
      <c r="J4617" s="49"/>
      <c r="K4617" s="49"/>
      <c r="L4617" s="49"/>
      <c r="M4617" s="49"/>
      <c r="N4617" s="49"/>
      <c r="O4617" s="49"/>
      <c r="P4617" s="49"/>
      <c r="Q4617" s="49">
        <v>0</v>
      </c>
      <c r="R4617" s="49">
        <f>S4617</f>
        <v>100</v>
      </c>
      <c r="S4617" s="49">
        <f>10*B4616</f>
        <v>100</v>
      </c>
      <c r="T4617" s="49"/>
      <c r="U4617" s="49"/>
      <c r="V4617" s="49"/>
      <c r="W4617" s="49"/>
      <c r="X4617" s="49"/>
      <c r="Y4617" s="49"/>
      <c r="Z4617" s="49"/>
      <c r="AA4617" s="49"/>
      <c r="AB4617" s="49"/>
      <c r="AC4617" s="49"/>
      <c r="AD4617" s="49"/>
      <c r="AE4617" s="49"/>
      <c r="AF4617" s="49"/>
      <c r="AG4617" s="49"/>
      <c r="AH4617" s="49"/>
      <c r="AI4617" s="49"/>
      <c r="AJ4617" s="49"/>
      <c r="AK4617" s="49"/>
      <c r="AL4617" s="49"/>
    </row>
    <row r="4618" spans="1:38">
      <c r="A4618" s="49"/>
      <c r="B4618" s="49" t="s">
        <v>17</v>
      </c>
      <c r="C4618" s="49" t="s">
        <v>16</v>
      </c>
      <c r="D4618" s="48">
        <v>4</v>
      </c>
      <c r="E4618" s="48" t="s">
        <v>15</v>
      </c>
      <c r="F4618" s="6">
        <v>3</v>
      </c>
      <c r="G4618" s="50"/>
      <c r="P4618" s="48"/>
      <c r="Q4618" s="48"/>
      <c r="R4618" s="48"/>
      <c r="S4618" s="49"/>
      <c r="T4618" s="49"/>
      <c r="U4618" s="49"/>
      <c r="V4618" s="49"/>
      <c r="W4618" s="49"/>
      <c r="X4618" s="49"/>
      <c r="Y4618" s="49"/>
      <c r="Z4618" s="49"/>
      <c r="AA4618" s="49"/>
      <c r="AB4618" s="49"/>
      <c r="AC4618" s="49"/>
      <c r="AD4618" s="49"/>
      <c r="AE4618" s="49"/>
      <c r="AF4618" s="49"/>
      <c r="AG4618" s="49"/>
      <c r="AH4618" s="49"/>
      <c r="AI4618" s="49"/>
      <c r="AJ4618" s="49"/>
      <c r="AK4618" s="49"/>
      <c r="AL4618" s="49"/>
    </row>
    <row r="4619" spans="1:38">
      <c r="A4619" s="54" t="s">
        <v>42</v>
      </c>
      <c r="B4619" s="48">
        <v>9</v>
      </c>
      <c r="C4619" s="48">
        <f>(20-B4619*2)/0.5</f>
        <v>4</v>
      </c>
      <c r="D4619" s="49"/>
      <c r="E4619" s="49" t="s">
        <v>113</v>
      </c>
      <c r="F4619" s="49">
        <v>14</v>
      </c>
      <c r="G4619" s="7">
        <v>50</v>
      </c>
      <c r="H4619" s="33">
        <v>400</v>
      </c>
      <c r="I4619" s="50">
        <f>G4619+U4619</f>
        <v>164</v>
      </c>
      <c r="J4619" s="49">
        <f>H4619-U4620</f>
        <v>360</v>
      </c>
      <c r="K4619" s="3" t="s">
        <v>22</v>
      </c>
      <c r="L4619" s="3" t="s">
        <v>21</v>
      </c>
      <c r="M4619" s="49">
        <v>2</v>
      </c>
      <c r="N4619" s="49">
        <v>-1</v>
      </c>
      <c r="O4619" s="49">
        <v>-1</v>
      </c>
      <c r="P4619" s="49">
        <f>COUNT(Q4619:DO4619)</f>
        <v>5</v>
      </c>
      <c r="Q4619" s="49">
        <v>0</v>
      </c>
      <c r="R4619" s="49">
        <f>Q4619+B4615*B4619*(2-2*B4614)</f>
        <v>27.000000000000004</v>
      </c>
      <c r="S4619" s="49">
        <f>B4619*(B4615-C4615)</f>
        <v>36</v>
      </c>
      <c r="T4619" s="48">
        <f>B4619*B4615+C4619*C4615-(2*C4614-1)*C4615*(B4619+C4619)</f>
        <v>67.199999999999989</v>
      </c>
      <c r="U4619" s="48">
        <f>B4619*B4615+C4619*C4615</f>
        <v>114</v>
      </c>
      <c r="V4619" s="48"/>
      <c r="W4619" s="49"/>
      <c r="X4619" s="49"/>
      <c r="Y4619" s="49"/>
      <c r="Z4619" s="49"/>
      <c r="AA4619" s="49"/>
      <c r="AB4619" s="49"/>
      <c r="AC4619" s="49"/>
      <c r="AD4619" s="49"/>
      <c r="AE4619" s="49"/>
      <c r="AF4619" s="49"/>
      <c r="AG4619" s="49"/>
      <c r="AH4619" s="49"/>
      <c r="AI4619" s="49"/>
      <c r="AJ4619" s="49"/>
      <c r="AK4619" s="49"/>
      <c r="AL4619" s="49"/>
    </row>
    <row r="4620" spans="1:38">
      <c r="A4620" s="48"/>
      <c r="B4620" s="48">
        <f>C4614*C4615*(B4619+C4619)*C4619*C4616+(C4619*C4615+B4619*B4615*B4614)*B4619*B4616</f>
        <v>9294.6</v>
      </c>
      <c r="C4620" s="48"/>
      <c r="D4620" s="49"/>
      <c r="E4620" s="3" t="s">
        <v>517</v>
      </c>
      <c r="F4620" s="3" t="str">
        <f>"b= "&amp;B4619&amp;"; a= "&amp;C4619&amp;"_K= "&amp;B4620</f>
        <v>b= 9; a= 4_K= 9294,6</v>
      </c>
      <c r="G4620" s="49">
        <f>G4619+15</f>
        <v>65</v>
      </c>
      <c r="H4620" s="49">
        <f>H4619-55</f>
        <v>345</v>
      </c>
      <c r="I4620" s="49">
        <f>H4620+20</f>
        <v>365</v>
      </c>
      <c r="J4620" s="49"/>
      <c r="K4620" s="49"/>
      <c r="L4620" s="49"/>
      <c r="M4620" s="49"/>
      <c r="N4620" s="3" t="s">
        <v>656</v>
      </c>
      <c r="O4620" s="3" t="s">
        <v>655</v>
      </c>
      <c r="P4620" s="49"/>
      <c r="Q4620" s="49">
        <v>0</v>
      </c>
      <c r="R4620" s="49">
        <f>S4620</f>
        <v>36</v>
      </c>
      <c r="S4620" s="49">
        <f>C4619*B4619</f>
        <v>36</v>
      </c>
      <c r="T4620" s="48">
        <f>U4620</f>
        <v>40</v>
      </c>
      <c r="U4620" s="48">
        <f>S4620+C4619*C4616</f>
        <v>40</v>
      </c>
      <c r="V4620" s="48"/>
      <c r="W4620" s="49"/>
      <c r="X4620" s="49"/>
      <c r="Y4620" s="49"/>
      <c r="Z4620" s="49"/>
      <c r="AA4620" s="49"/>
      <c r="AB4620" s="49"/>
      <c r="AC4620" s="49"/>
      <c r="AD4620" s="49"/>
      <c r="AE4620" s="49"/>
      <c r="AF4620" s="49"/>
      <c r="AG4620" s="49"/>
      <c r="AH4620" s="49"/>
      <c r="AI4620" s="49"/>
      <c r="AJ4620" s="49"/>
      <c r="AK4620" s="49"/>
      <c r="AL4620" s="49"/>
    </row>
    <row r="4621" spans="1:38">
      <c r="C4621" s="48"/>
      <c r="D4621" s="48">
        <v>4</v>
      </c>
      <c r="E4621" s="48" t="s">
        <v>15</v>
      </c>
      <c r="F4621" s="6">
        <v>3</v>
      </c>
      <c r="G4621" s="50"/>
      <c r="P4621" s="48"/>
      <c r="Q4621" s="48"/>
      <c r="R4621" s="48"/>
      <c r="S4621" s="49"/>
      <c r="T4621" s="48"/>
      <c r="U4621" s="48"/>
      <c r="V4621" s="48"/>
      <c r="W4621" s="49"/>
      <c r="X4621" s="49"/>
      <c r="Y4621" s="49"/>
      <c r="Z4621" s="49"/>
      <c r="AA4621" s="49"/>
      <c r="AB4621" s="49"/>
      <c r="AC4621" s="49"/>
      <c r="AD4621" s="49"/>
      <c r="AE4621" s="49"/>
      <c r="AF4621" s="49"/>
      <c r="AG4621" s="49"/>
      <c r="AH4621" s="49"/>
      <c r="AI4621" s="49"/>
      <c r="AJ4621" s="49"/>
      <c r="AK4621" s="49"/>
      <c r="AL4621" s="49"/>
    </row>
    <row r="4622" spans="1:38">
      <c r="A4622" s="54" t="s">
        <v>42</v>
      </c>
      <c r="B4622" s="48">
        <v>8</v>
      </c>
      <c r="C4622" s="48">
        <f>(20-B4622*2)/0.5</f>
        <v>8</v>
      </c>
      <c r="D4622" s="49"/>
      <c r="E4622" s="49" t="s">
        <v>113</v>
      </c>
      <c r="F4622" s="49">
        <v>14</v>
      </c>
      <c r="G4622" s="7">
        <v>100</v>
      </c>
      <c r="H4622" s="33">
        <v>240</v>
      </c>
      <c r="I4622" s="50">
        <f>G4622+U4622</f>
        <v>228</v>
      </c>
      <c r="J4622" s="49">
        <f>H4622-U4623</f>
        <v>168</v>
      </c>
      <c r="K4622" s="3" t="s">
        <v>22</v>
      </c>
      <c r="L4622" s="3" t="s">
        <v>21</v>
      </c>
      <c r="M4622" s="49">
        <v>2</v>
      </c>
      <c r="N4622" s="49">
        <v>-1</v>
      </c>
      <c r="O4622" s="49">
        <v>-1</v>
      </c>
      <c r="P4622" s="49">
        <f>COUNT(Q4622:DO4622)</f>
        <v>5</v>
      </c>
      <c r="Q4622" s="49">
        <v>0</v>
      </c>
      <c r="R4622" s="49">
        <f>Q4622+B4615*B4622*(2-2*B4614)</f>
        <v>24.000000000000004</v>
      </c>
      <c r="S4622" s="49">
        <f>B4622*(B4615-C4615)</f>
        <v>32</v>
      </c>
      <c r="T4622" s="48">
        <f>B4622*B4615+C4622*C4615-(2*C4614-1)*C4615*(B4622+C4622)</f>
        <v>70.399999999999991</v>
      </c>
      <c r="U4622" s="48">
        <f>B4622*B4615+C4622*C4615</f>
        <v>128</v>
      </c>
      <c r="V4622" s="48"/>
      <c r="W4622" s="49"/>
      <c r="X4622" s="49"/>
      <c r="Y4622" s="49"/>
      <c r="Z4622" s="49"/>
      <c r="AA4622" s="49"/>
      <c r="AB4622" s="49"/>
      <c r="AC4622" s="49"/>
      <c r="AD4622" s="49"/>
      <c r="AE4622" s="49"/>
      <c r="AF4622" s="49"/>
      <c r="AG4622" s="49"/>
      <c r="AH4622" s="49"/>
      <c r="AI4622" s="49"/>
      <c r="AJ4622" s="49"/>
      <c r="AK4622" s="49"/>
      <c r="AL4622" s="49"/>
    </row>
    <row r="4623" spans="1:38">
      <c r="A4623" s="48"/>
      <c r="B4623" s="48">
        <f>C4614*C4615*(B4622+C4622)*C4622*C4616+(C4622*C4615+B4622*B4615*B4614)*B4622*B4616</f>
        <v>9894.4</v>
      </c>
      <c r="C4623" s="48"/>
      <c r="D4623" s="49"/>
      <c r="E4623" s="3" t="s">
        <v>517</v>
      </c>
      <c r="F4623" s="3" t="str">
        <f>"b= "&amp;B4622&amp;"; a= "&amp;C4622&amp;"_K= "&amp;B4623</f>
        <v>b= 8; a= 8_K= 9894,4</v>
      </c>
      <c r="G4623" s="49">
        <f>G4622+15</f>
        <v>115</v>
      </c>
      <c r="H4623" s="49">
        <f>H4622-55</f>
        <v>185</v>
      </c>
      <c r="I4623" s="49">
        <f>H4623+20</f>
        <v>205</v>
      </c>
      <c r="J4623" s="49"/>
      <c r="K4623" s="49"/>
      <c r="L4623" s="49"/>
      <c r="M4623" s="49"/>
      <c r="N4623" s="49" t="s">
        <v>656</v>
      </c>
      <c r="O4623" s="3" t="s">
        <v>655</v>
      </c>
      <c r="P4623" s="49"/>
      <c r="Q4623" s="49">
        <v>0</v>
      </c>
      <c r="R4623" s="49">
        <f>S4623</f>
        <v>64</v>
      </c>
      <c r="S4623" s="49">
        <f>C4622*B4622</f>
        <v>64</v>
      </c>
      <c r="T4623" s="48">
        <f>U4623</f>
        <v>72</v>
      </c>
      <c r="U4623" s="48">
        <f>S4623+C4622*C4616</f>
        <v>72</v>
      </c>
      <c r="V4623" s="49"/>
      <c r="W4623" s="49"/>
      <c r="X4623" s="49"/>
      <c r="Y4623" s="49"/>
      <c r="Z4623" s="49"/>
      <c r="AA4623" s="49"/>
      <c r="AB4623" s="49"/>
      <c r="AC4623" s="49"/>
      <c r="AD4623" s="49"/>
      <c r="AE4623" s="49"/>
      <c r="AF4623" s="49"/>
      <c r="AG4623" s="49"/>
      <c r="AH4623" s="49"/>
      <c r="AI4623" s="49"/>
      <c r="AJ4623" s="49"/>
      <c r="AK4623" s="49"/>
      <c r="AL4623" s="49"/>
    </row>
    <row r="4624" spans="1:38">
      <c r="A4624" s="48"/>
      <c r="B4624" s="48"/>
      <c r="C4624" s="48"/>
      <c r="D4624" s="48">
        <v>4</v>
      </c>
      <c r="E4624" s="48" t="s">
        <v>15</v>
      </c>
      <c r="F4624" s="6">
        <v>3</v>
      </c>
      <c r="G4624" s="50"/>
      <c r="P4624" s="48"/>
      <c r="Q4624" s="48"/>
      <c r="R4624" s="48"/>
      <c r="S4624" s="49"/>
      <c r="T4624" s="49"/>
      <c r="U4624" s="49"/>
      <c r="V4624" s="49"/>
      <c r="W4624" s="49"/>
      <c r="X4624" s="49"/>
      <c r="Y4624" s="49"/>
      <c r="Z4624" s="49"/>
      <c r="AA4624" s="49"/>
      <c r="AB4624" s="49"/>
      <c r="AC4624" s="49"/>
      <c r="AD4624" s="49"/>
      <c r="AE4624" s="49"/>
      <c r="AF4624" s="49"/>
      <c r="AG4624" s="49"/>
      <c r="AH4624" s="49"/>
      <c r="AI4624" s="49"/>
      <c r="AJ4624" s="49"/>
      <c r="AK4624" s="49"/>
      <c r="AL4624" s="49"/>
    </row>
    <row r="4625" spans="1:38">
      <c r="A4625" s="54" t="s">
        <v>42</v>
      </c>
      <c r="B4625" s="48">
        <v>7</v>
      </c>
      <c r="C4625" s="48">
        <f>(20-B4625*2)/0.5</f>
        <v>12</v>
      </c>
      <c r="D4625" s="49"/>
      <c r="E4625" s="49" t="s">
        <v>113</v>
      </c>
      <c r="F4625" s="49">
        <v>14</v>
      </c>
      <c r="G4625" s="7">
        <v>280</v>
      </c>
      <c r="H4625" s="33">
        <v>150</v>
      </c>
      <c r="I4625" s="50">
        <f>G4625+U4625</f>
        <v>422</v>
      </c>
      <c r="J4625" s="49">
        <f>H4625-U4626</f>
        <v>54</v>
      </c>
      <c r="K4625" s="3" t="s">
        <v>22</v>
      </c>
      <c r="L4625" s="3" t="s">
        <v>21</v>
      </c>
      <c r="M4625" s="49">
        <v>2</v>
      </c>
      <c r="N4625" s="49">
        <v>-1</v>
      </c>
      <c r="O4625" s="49">
        <v>-1</v>
      </c>
      <c r="P4625" s="49">
        <f>COUNT(Q4625:DO4625)</f>
        <v>5</v>
      </c>
      <c r="Q4625" s="49">
        <v>0</v>
      </c>
      <c r="R4625" s="49">
        <f>Q4625+B4615*B4625*(2-2*B4614)</f>
        <v>21.000000000000004</v>
      </c>
      <c r="S4625" s="49">
        <f>B4625*(B4615-C4615)</f>
        <v>28</v>
      </c>
      <c r="T4625" s="48">
        <f>B4625*B4615+C4625*C4615-(2*C4614-1)*C4615*(B4625+C4625)</f>
        <v>73.599999999999994</v>
      </c>
      <c r="U4625" s="48">
        <f>B4625*B4615+C4625*C4615</f>
        <v>142</v>
      </c>
      <c r="V4625" s="49"/>
      <c r="W4625" s="49"/>
      <c r="X4625" s="49"/>
      <c r="Y4625" s="49"/>
      <c r="Z4625" s="49"/>
      <c r="AA4625" s="49"/>
      <c r="AB4625" s="49"/>
      <c r="AC4625" s="49"/>
      <c r="AD4625" s="49"/>
      <c r="AE4625" s="49"/>
      <c r="AF4625" s="49"/>
      <c r="AG4625" s="49"/>
      <c r="AH4625" s="49"/>
      <c r="AI4625" s="49"/>
      <c r="AJ4625" s="49"/>
      <c r="AK4625" s="49"/>
      <c r="AL4625" s="49"/>
    </row>
    <row r="4626" spans="1:38">
      <c r="A4626" s="48"/>
      <c r="B4626" s="48">
        <f>C4614*C4615*(B4625+C4625)*C4625*C4616+(C4625*C4615+B4625*B4615*B4614)*B4625*B4616</f>
        <v>10299.4</v>
      </c>
      <c r="C4626" s="48"/>
      <c r="D4626" s="49"/>
      <c r="E4626" s="3" t="s">
        <v>517</v>
      </c>
      <c r="F4626" s="3" t="str">
        <f>"b= "&amp;B4625&amp;"; a= "&amp;C4625&amp;"_K= "&amp;B4626</f>
        <v>b= 7; a= 12_K= 10299,4</v>
      </c>
      <c r="G4626" s="49">
        <f>G4625+15</f>
        <v>295</v>
      </c>
      <c r="H4626" s="49">
        <f>H4625-55</f>
        <v>95</v>
      </c>
      <c r="I4626" s="49">
        <f>H4626+20</f>
        <v>115</v>
      </c>
      <c r="J4626" s="49"/>
      <c r="K4626" s="49"/>
      <c r="L4626" s="49"/>
      <c r="M4626" s="49"/>
      <c r="N4626" s="49" t="s">
        <v>656</v>
      </c>
      <c r="O4626" s="3" t="s">
        <v>657</v>
      </c>
      <c r="P4626" s="49"/>
      <c r="Q4626" s="49">
        <v>0</v>
      </c>
      <c r="R4626" s="49">
        <f>S4626</f>
        <v>84</v>
      </c>
      <c r="S4626" s="49">
        <f>C4625*B4625</f>
        <v>84</v>
      </c>
      <c r="T4626" s="48">
        <f>U4626</f>
        <v>96</v>
      </c>
      <c r="U4626" s="48">
        <f>S4626+C4625*C4616</f>
        <v>96</v>
      </c>
      <c r="V4626" s="49"/>
      <c r="W4626" s="49"/>
      <c r="X4626" s="49"/>
      <c r="Y4626" s="49"/>
      <c r="Z4626" s="49"/>
      <c r="AA4626" s="49"/>
      <c r="AB4626" s="49"/>
      <c r="AC4626" s="49"/>
      <c r="AD4626" s="49"/>
      <c r="AE4626" s="49"/>
      <c r="AF4626" s="49"/>
      <c r="AG4626" s="49"/>
      <c r="AH4626" s="49"/>
      <c r="AI4626" s="49"/>
      <c r="AJ4626" s="49"/>
      <c r="AK4626" s="49"/>
      <c r="AL4626" s="49"/>
    </row>
    <row r="4627" spans="1:38">
      <c r="A4627" s="48"/>
      <c r="B4627" s="48"/>
      <c r="C4627" s="48"/>
      <c r="D4627" s="48">
        <v>4</v>
      </c>
      <c r="E4627" s="48" t="s">
        <v>15</v>
      </c>
      <c r="F4627" s="6">
        <v>3</v>
      </c>
      <c r="G4627" s="50"/>
      <c r="P4627" s="48"/>
      <c r="Q4627" s="48"/>
      <c r="R4627" s="48"/>
      <c r="S4627" s="49"/>
      <c r="T4627" s="49"/>
      <c r="U4627" s="49"/>
      <c r="V4627" s="49"/>
      <c r="W4627" s="49"/>
      <c r="X4627" s="49"/>
      <c r="Y4627" s="49"/>
      <c r="Z4627" s="49"/>
      <c r="AA4627" s="49"/>
      <c r="AB4627" s="49"/>
      <c r="AC4627" s="49"/>
      <c r="AD4627" s="49"/>
      <c r="AE4627" s="49"/>
      <c r="AF4627" s="49"/>
      <c r="AG4627" s="49"/>
      <c r="AH4627" s="49"/>
      <c r="AI4627" s="49"/>
      <c r="AJ4627" s="49"/>
      <c r="AK4627" s="49"/>
      <c r="AL4627" s="49"/>
    </row>
    <row r="4628" spans="1:38">
      <c r="A4628" s="54" t="s">
        <v>42</v>
      </c>
      <c r="B4628" s="48">
        <v>5.5</v>
      </c>
      <c r="C4628" s="48">
        <f>(20-B4628*2)/0.5</f>
        <v>18</v>
      </c>
      <c r="D4628" s="49"/>
      <c r="E4628" s="49" t="s">
        <v>113</v>
      </c>
      <c r="F4628" s="49">
        <v>14</v>
      </c>
      <c r="G4628" s="7">
        <v>480</v>
      </c>
      <c r="H4628" s="33">
        <v>120</v>
      </c>
      <c r="I4628" s="50">
        <f>G4628+U4628</f>
        <v>643</v>
      </c>
      <c r="J4628" s="49">
        <f>H4628-U4629</f>
        <v>3</v>
      </c>
      <c r="K4628" s="3" t="s">
        <v>22</v>
      </c>
      <c r="L4628" s="3" t="s">
        <v>731</v>
      </c>
      <c r="M4628" s="49">
        <v>2</v>
      </c>
      <c r="N4628" s="49">
        <v>-1</v>
      </c>
      <c r="O4628" s="49">
        <v>-1</v>
      </c>
      <c r="P4628" s="49">
        <f>COUNT(Q4628:DO4628)</f>
        <v>5</v>
      </c>
      <c r="Q4628" s="49">
        <v>0</v>
      </c>
      <c r="R4628" s="49">
        <f>Q4628+B4615*B4628*(2-2*B4614)</f>
        <v>16.500000000000004</v>
      </c>
      <c r="S4628" s="49">
        <f>B4628*(B4615-C4615)</f>
        <v>22</v>
      </c>
      <c r="T4628" s="48">
        <f>B4628*B4615+C4628*C4615-(2*C4614-1)*C4615*(B4628+C4628)</f>
        <v>78.399999999999991</v>
      </c>
      <c r="U4628" s="48">
        <f>B4628*B4615+C4628*C4615</f>
        <v>163</v>
      </c>
      <c r="V4628" s="49"/>
      <c r="W4628" s="49"/>
      <c r="X4628" s="49"/>
      <c r="Y4628" s="49"/>
      <c r="Z4628" s="49"/>
      <c r="AA4628" s="49"/>
      <c r="AB4628" s="49"/>
      <c r="AC4628" s="49"/>
      <c r="AD4628" s="49"/>
      <c r="AE4628" s="49"/>
      <c r="AF4628" s="49"/>
      <c r="AG4628" s="49"/>
      <c r="AH4628" s="49"/>
      <c r="AI4628" s="49"/>
      <c r="AJ4628" s="49"/>
      <c r="AK4628" s="49"/>
      <c r="AL4628" s="49"/>
    </row>
    <row r="4629" spans="1:38">
      <c r="A4629" s="48"/>
      <c r="B4629" s="48">
        <f>C4614*C4615*(B4628+C4628)*C4628*C4616+(C4628*C4615+B4628*B4615*B4614)*B4628*B4616</f>
        <v>10541.65</v>
      </c>
      <c r="C4629" s="48"/>
      <c r="D4629" s="49"/>
      <c r="E4629" s="3" t="s">
        <v>517</v>
      </c>
      <c r="F4629" s="3" t="str">
        <f>"b= "&amp;B4628&amp;"; a= "&amp;C4628&amp;"_K= "&amp;B4629</f>
        <v>b= 5,5; a= 18_K= 10541,65</v>
      </c>
      <c r="G4629" s="49">
        <f>G4628+15</f>
        <v>495</v>
      </c>
      <c r="H4629" s="49">
        <f>H4628-55</f>
        <v>65</v>
      </c>
      <c r="I4629" s="49">
        <f>H4629+20</f>
        <v>85</v>
      </c>
      <c r="J4629" s="49"/>
      <c r="K4629" s="49"/>
      <c r="L4629" s="49"/>
      <c r="M4629" s="49"/>
      <c r="N4629" s="49" t="s">
        <v>720</v>
      </c>
      <c r="O4629" s="49"/>
      <c r="P4629" s="49"/>
      <c r="Q4629" s="49">
        <v>0</v>
      </c>
      <c r="R4629" s="49">
        <f>S4629</f>
        <v>99</v>
      </c>
      <c r="S4629" s="49">
        <f>C4628*B4628</f>
        <v>99</v>
      </c>
      <c r="T4629" s="48">
        <f>U4629</f>
        <v>117</v>
      </c>
      <c r="U4629" s="48">
        <f>S4629+C4628*C4616</f>
        <v>117</v>
      </c>
      <c r="V4629" s="49"/>
      <c r="W4629" s="49"/>
      <c r="X4629" s="49"/>
      <c r="Y4629" s="49"/>
      <c r="Z4629" s="49"/>
      <c r="AA4629" s="49"/>
      <c r="AB4629" s="49"/>
      <c r="AC4629" s="49"/>
      <c r="AD4629" s="49"/>
      <c r="AE4629" s="49"/>
      <c r="AF4629" s="49"/>
      <c r="AG4629" s="49"/>
      <c r="AH4629" s="49"/>
      <c r="AI4629" s="49"/>
      <c r="AJ4629" s="49"/>
      <c r="AK4629" s="49"/>
      <c r="AL4629" s="49"/>
    </row>
    <row r="4630" spans="1:38">
      <c r="A4630" s="48"/>
      <c r="B4630" s="48"/>
      <c r="C4630" s="48"/>
      <c r="D4630" s="48">
        <v>4</v>
      </c>
      <c r="E4630" s="48" t="s">
        <v>15</v>
      </c>
      <c r="F4630" s="6">
        <v>3</v>
      </c>
      <c r="G4630" s="50"/>
      <c r="P4630" s="48"/>
      <c r="Q4630" s="48"/>
      <c r="R4630" s="48"/>
      <c r="S4630" s="49"/>
      <c r="T4630" s="49"/>
      <c r="U4630" s="49"/>
      <c r="V4630" s="49"/>
      <c r="W4630" s="49"/>
      <c r="X4630" s="49"/>
      <c r="Y4630" s="49"/>
      <c r="Z4630" s="49"/>
      <c r="AA4630" s="49"/>
      <c r="AB4630" s="49"/>
      <c r="AC4630" s="49"/>
      <c r="AD4630" s="49"/>
      <c r="AE4630" s="49"/>
      <c r="AF4630" s="49"/>
      <c r="AG4630" s="49"/>
      <c r="AH4630" s="49"/>
      <c r="AI4630" s="49"/>
      <c r="AJ4630" s="49"/>
      <c r="AK4630" s="49"/>
      <c r="AL4630" s="49"/>
    </row>
    <row r="4631" spans="1:38">
      <c r="A4631" s="54" t="s">
        <v>42</v>
      </c>
      <c r="B4631" s="48">
        <v>5</v>
      </c>
      <c r="C4631" s="48">
        <f>(20-B4631*2)/0.5</f>
        <v>20</v>
      </c>
      <c r="D4631" s="49"/>
      <c r="E4631" s="49" t="s">
        <v>113</v>
      </c>
      <c r="F4631" s="49">
        <v>14</v>
      </c>
      <c r="G4631" s="7">
        <v>700</v>
      </c>
      <c r="H4631" s="33">
        <v>140</v>
      </c>
      <c r="I4631" s="50">
        <f>G4631+U4631</f>
        <v>870</v>
      </c>
      <c r="J4631" s="49">
        <f>H4631-U4632</f>
        <v>20</v>
      </c>
      <c r="K4631" s="3" t="s">
        <v>22</v>
      </c>
      <c r="L4631" s="3" t="s">
        <v>730</v>
      </c>
      <c r="M4631" s="49">
        <v>2</v>
      </c>
      <c r="N4631" s="49">
        <v>-1</v>
      </c>
      <c r="O4631" s="49">
        <v>-1</v>
      </c>
      <c r="P4631" s="49">
        <f>COUNT(Q4631:DO4631)</f>
        <v>5</v>
      </c>
      <c r="Q4631" s="49">
        <v>0</v>
      </c>
      <c r="R4631" s="49">
        <f>Q4631+B4615*B4631*(2-2*B4614)</f>
        <v>15.000000000000002</v>
      </c>
      <c r="S4631" s="49">
        <f>B4631*(B4615-C4615)</f>
        <v>20</v>
      </c>
      <c r="T4631" s="48">
        <f>B4631*B4615+C4631*C4615-(2*C4614-1)*C4615*(B4631+C4631)</f>
        <v>79.999999999999986</v>
      </c>
      <c r="U4631" s="48">
        <f>B4631*B4615+C4631*C4615</f>
        <v>170</v>
      </c>
      <c r="V4631" s="49"/>
      <c r="W4631" s="49"/>
      <c r="X4631" s="49"/>
      <c r="Y4631" s="49"/>
      <c r="Z4631" s="49"/>
      <c r="AA4631" s="49"/>
      <c r="AB4631" s="49"/>
      <c r="AC4631" s="49"/>
      <c r="AD4631" s="49"/>
      <c r="AE4631" s="49"/>
      <c r="AF4631" s="49"/>
      <c r="AG4631" s="49"/>
      <c r="AH4631" s="49"/>
      <c r="AI4631" s="49"/>
      <c r="AJ4631" s="49"/>
      <c r="AK4631" s="49"/>
      <c r="AL4631" s="49"/>
    </row>
    <row r="4632" spans="1:38">
      <c r="A4632" s="48"/>
      <c r="B4632" s="48">
        <f>C4614*C4615*(B4631+C4631)*C4631*C4616+(C4631*C4615+B4631*B4615*B4614)*B4631*B4616</f>
        <v>10525</v>
      </c>
      <c r="C4632" s="48"/>
      <c r="D4632" s="49"/>
      <c r="E4632" s="3" t="s">
        <v>517</v>
      </c>
      <c r="F4632" s="3" t="str">
        <f>"b= "&amp;B4631&amp;"; a= "&amp;C4631&amp;"_K= "&amp;B4632</f>
        <v>b= 5; a= 20_K= 10525</v>
      </c>
      <c r="G4632" s="49">
        <f>G4631+15</f>
        <v>715</v>
      </c>
      <c r="H4632" s="49">
        <f>H4631-55</f>
        <v>85</v>
      </c>
      <c r="I4632" s="49">
        <f>H4632+20</f>
        <v>105</v>
      </c>
      <c r="J4632" s="49"/>
      <c r="K4632" s="49"/>
      <c r="L4632" s="49"/>
      <c r="M4632" s="49"/>
      <c r="N4632" s="49" t="s">
        <v>719</v>
      </c>
      <c r="O4632" s="49"/>
      <c r="P4632" s="49"/>
      <c r="Q4632" s="49">
        <v>0</v>
      </c>
      <c r="R4632" s="49">
        <f>S4632</f>
        <v>100</v>
      </c>
      <c r="S4632" s="49">
        <f>C4631*B4631</f>
        <v>100</v>
      </c>
      <c r="T4632" s="48">
        <f>U4632</f>
        <v>120</v>
      </c>
      <c r="U4632" s="48">
        <f>S4632+C4631*C4616</f>
        <v>120</v>
      </c>
      <c r="V4632" s="49"/>
      <c r="W4632" s="49"/>
      <c r="X4632" s="49"/>
      <c r="Y4632" s="49"/>
      <c r="Z4632" s="49"/>
      <c r="AA4632" s="49"/>
      <c r="AB4632" s="49"/>
      <c r="AC4632" s="49"/>
      <c r="AD4632" s="49"/>
      <c r="AE4632" s="49"/>
      <c r="AF4632" s="49"/>
      <c r="AG4632" s="49"/>
      <c r="AH4632" s="49"/>
      <c r="AI4632" s="49"/>
      <c r="AJ4632" s="49"/>
      <c r="AK4632" s="49"/>
      <c r="AL4632" s="49"/>
    </row>
    <row r="4633" spans="1:38">
      <c r="A4633" s="48"/>
      <c r="B4633" s="48"/>
      <c r="C4633" s="48"/>
      <c r="D4633" s="48">
        <v>4</v>
      </c>
      <c r="E4633" s="48" t="s">
        <v>15</v>
      </c>
      <c r="F4633" s="6">
        <v>3</v>
      </c>
      <c r="G4633" s="50"/>
      <c r="P4633" s="48"/>
      <c r="Q4633" s="48"/>
      <c r="R4633" s="48"/>
      <c r="S4633" s="49"/>
      <c r="T4633" s="49"/>
      <c r="U4633" s="49"/>
      <c r="V4633" s="49"/>
      <c r="W4633" s="49"/>
      <c r="X4633" s="49"/>
      <c r="Y4633" s="49"/>
      <c r="Z4633" s="49"/>
      <c r="AA4633" s="49"/>
      <c r="AB4633" s="49"/>
      <c r="AC4633" s="49"/>
      <c r="AD4633" s="49"/>
      <c r="AE4633" s="49"/>
      <c r="AF4633" s="49"/>
      <c r="AG4633" s="49"/>
      <c r="AH4633" s="49"/>
      <c r="AI4633" s="49"/>
      <c r="AJ4633" s="49"/>
      <c r="AK4633" s="49"/>
      <c r="AL4633" s="49"/>
    </row>
    <row r="4634" spans="1:38">
      <c r="A4634" s="54" t="s">
        <v>42</v>
      </c>
      <c r="B4634" s="48">
        <v>3</v>
      </c>
      <c r="C4634" s="48">
        <f>(20-B4634*2)/0.5</f>
        <v>28</v>
      </c>
      <c r="D4634" s="49"/>
      <c r="E4634" s="49" t="s">
        <v>113</v>
      </c>
      <c r="F4634" s="49">
        <v>14</v>
      </c>
      <c r="G4634" s="7">
        <v>830</v>
      </c>
      <c r="H4634" s="33">
        <v>240</v>
      </c>
      <c r="I4634" s="50">
        <f>G4634+U4634</f>
        <v>1028</v>
      </c>
      <c r="J4634" s="49">
        <f>H4634-U4635</f>
        <v>128</v>
      </c>
      <c r="K4634" s="3" t="s">
        <v>22</v>
      </c>
      <c r="L4634" s="3" t="s">
        <v>21</v>
      </c>
      <c r="M4634" s="49">
        <v>2</v>
      </c>
      <c r="N4634" s="49">
        <v>-1</v>
      </c>
      <c r="O4634" s="49">
        <v>-1</v>
      </c>
      <c r="P4634" s="49">
        <f>COUNT(Q4634:DO4634)</f>
        <v>5</v>
      </c>
      <c r="Q4634" s="49">
        <v>0</v>
      </c>
      <c r="R4634" s="49">
        <f>Q4634+B4615*B4634*(2-2*B4614)</f>
        <v>9.0000000000000018</v>
      </c>
      <c r="S4634" s="49">
        <f>B4634*(B4615-C4615)</f>
        <v>12</v>
      </c>
      <c r="T4634" s="48">
        <f>B4634*B4615+C4634*C4615-(2*C4614-1)*C4615*(B4634+C4634)</f>
        <v>86.399999999999977</v>
      </c>
      <c r="U4634" s="48">
        <f>B4634*B4615+C4634*C4615</f>
        <v>198</v>
      </c>
      <c r="V4634" s="49"/>
      <c r="W4634" s="49"/>
      <c r="X4634" s="49"/>
      <c r="Y4634" s="49"/>
      <c r="Z4634" s="49"/>
      <c r="AA4634" s="49"/>
      <c r="AB4634" s="49"/>
      <c r="AC4634" s="49"/>
      <c r="AD4634" s="49"/>
      <c r="AE4634" s="49"/>
      <c r="AF4634" s="49"/>
      <c r="AG4634" s="49"/>
      <c r="AH4634" s="49"/>
      <c r="AI4634" s="49"/>
      <c r="AJ4634" s="49"/>
      <c r="AK4634" s="49"/>
      <c r="AL4634" s="49"/>
    </row>
    <row r="4635" spans="1:38">
      <c r="A4635" s="48"/>
      <c r="B4635" s="48">
        <f>C4614*C4615*(B4634+C4634)*C4634*C4616+(C4634*C4615+B4634*B4615*B4614)*B4634*B4616</f>
        <v>9971.4000000000015</v>
      </c>
      <c r="C4635" s="48"/>
      <c r="D4635" s="49"/>
      <c r="E4635" s="3" t="s">
        <v>517</v>
      </c>
      <c r="F4635" s="3" t="str">
        <f>"b= "&amp;B4634&amp;"; a= "&amp;C4634&amp;"_K= "&amp;B4635</f>
        <v>b= 3; a= 28_K= 9971,4</v>
      </c>
      <c r="G4635" s="49">
        <f>G4634+15</f>
        <v>845</v>
      </c>
      <c r="H4635" s="49">
        <f>H4634-55</f>
        <v>185</v>
      </c>
      <c r="I4635" s="49">
        <f>H4635+20</f>
        <v>205</v>
      </c>
      <c r="J4635" s="49"/>
      <c r="K4635" s="49"/>
      <c r="L4635" s="49"/>
      <c r="M4635" s="49"/>
      <c r="N4635" s="49" t="s">
        <v>718</v>
      </c>
      <c r="O4635" s="49"/>
      <c r="P4635" s="49"/>
      <c r="Q4635" s="49">
        <v>0</v>
      </c>
      <c r="R4635" s="49">
        <f>S4635</f>
        <v>84</v>
      </c>
      <c r="S4635" s="49">
        <f>C4634*B4634</f>
        <v>84</v>
      </c>
      <c r="T4635" s="48">
        <f>U4635</f>
        <v>112</v>
      </c>
      <c r="U4635" s="48">
        <f>S4635+C4634*C4616</f>
        <v>112</v>
      </c>
      <c r="V4635" s="49"/>
      <c r="W4635" s="49"/>
      <c r="X4635" s="49"/>
      <c r="Y4635" s="49"/>
      <c r="Z4635" s="49"/>
      <c r="AA4635" s="49"/>
      <c r="AB4635" s="49"/>
      <c r="AC4635" s="49"/>
      <c r="AD4635" s="49"/>
      <c r="AE4635" s="49"/>
      <c r="AF4635" s="49"/>
      <c r="AG4635" s="49"/>
      <c r="AH4635" s="49"/>
      <c r="AI4635" s="49"/>
      <c r="AJ4635" s="49"/>
      <c r="AK4635" s="49"/>
      <c r="AL4635" s="49"/>
    </row>
    <row r="4636" spans="1:38">
      <c r="A4636" s="48"/>
      <c r="B4636" s="48"/>
      <c r="C4636" s="48"/>
      <c r="D4636" s="48">
        <v>4</v>
      </c>
      <c r="E4636" s="48" t="s">
        <v>15</v>
      </c>
      <c r="F4636" s="6">
        <v>3</v>
      </c>
      <c r="G4636" s="50"/>
      <c r="P4636" s="48"/>
      <c r="Q4636" s="48"/>
      <c r="R4636" s="48"/>
      <c r="S4636" s="49"/>
      <c r="T4636" s="49"/>
      <c r="U4636" s="49"/>
      <c r="V4636" s="49"/>
      <c r="W4636" s="49"/>
      <c r="X4636" s="49"/>
      <c r="Y4636" s="49"/>
      <c r="Z4636" s="49"/>
      <c r="AA4636" s="49"/>
      <c r="AB4636" s="49"/>
      <c r="AC4636" s="49"/>
      <c r="AD4636" s="49"/>
      <c r="AE4636" s="49"/>
      <c r="AF4636" s="49"/>
      <c r="AG4636" s="49"/>
      <c r="AH4636" s="49"/>
      <c r="AI4636" s="49"/>
      <c r="AJ4636" s="49"/>
      <c r="AK4636" s="49"/>
      <c r="AL4636" s="49"/>
    </row>
    <row r="4637" spans="1:38">
      <c r="A4637" s="54" t="s">
        <v>42</v>
      </c>
      <c r="B4637" s="48">
        <v>2</v>
      </c>
      <c r="C4637" s="48">
        <f>(20-B4637*2)/0.5</f>
        <v>32</v>
      </c>
      <c r="D4637" s="49"/>
      <c r="E4637" s="49" t="s">
        <v>113</v>
      </c>
      <c r="F4637" s="49">
        <v>14</v>
      </c>
      <c r="G4637" s="7">
        <v>920</v>
      </c>
      <c r="H4637" s="33">
        <v>350</v>
      </c>
      <c r="I4637" s="50">
        <f>G4637+U4637</f>
        <v>1132</v>
      </c>
      <c r="J4637" s="49">
        <f>H4637-U4638</f>
        <v>254</v>
      </c>
      <c r="K4637" s="3" t="s">
        <v>22</v>
      </c>
      <c r="L4637" s="3" t="s">
        <v>21</v>
      </c>
      <c r="M4637" s="49">
        <v>2</v>
      </c>
      <c r="N4637" s="49">
        <v>-1</v>
      </c>
      <c r="O4637" s="49">
        <v>-1</v>
      </c>
      <c r="P4637" s="49">
        <f>COUNT(Q4637:DO4637)</f>
        <v>5</v>
      </c>
      <c r="Q4637" s="49">
        <v>0</v>
      </c>
      <c r="R4637" s="49">
        <f>Q4637+B4615*B4637*(2-2*B4614)</f>
        <v>6.0000000000000009</v>
      </c>
      <c r="S4637" s="49">
        <f>B4637*(B4615-C4615)</f>
        <v>8</v>
      </c>
      <c r="T4637" s="48">
        <f>B4637*B4615+C4637*C4615-(2*C4614-1)*C4615*(B4637+C4637)</f>
        <v>89.59999999999998</v>
      </c>
      <c r="U4637" s="48">
        <f>B4637*B4615+C4637*C4615</f>
        <v>212</v>
      </c>
      <c r="V4637" s="49"/>
      <c r="W4637" s="49"/>
      <c r="X4637" s="49"/>
      <c r="Y4637" s="49"/>
      <c r="Z4637" s="49"/>
      <c r="AA4637" s="49"/>
      <c r="AB4637" s="49"/>
      <c r="AC4637" s="49"/>
      <c r="AD4637" s="49"/>
      <c r="AE4637" s="49"/>
      <c r="AF4637" s="49"/>
      <c r="AG4637" s="49"/>
      <c r="AH4637" s="49"/>
      <c r="AI4637" s="49"/>
      <c r="AJ4637" s="49"/>
      <c r="AK4637" s="49"/>
      <c r="AL4637" s="49"/>
    </row>
    <row r="4638" spans="1:38">
      <c r="A4638" s="48"/>
      <c r="B4638" s="48">
        <f>C4614*C4615*(B4637+C4637)*C4637*C4616+(C4637*C4615+B4637*B4615*B4614)*B4637*B4616</f>
        <v>9402.4000000000015</v>
      </c>
      <c r="C4638" s="48"/>
      <c r="D4638" s="49">
        <f>ROUNDUP(6+F4638/2,0)</f>
        <v>17</v>
      </c>
      <c r="E4638" s="49" t="s">
        <v>6</v>
      </c>
      <c r="F4638" s="49">
        <f>LEN(G4638)</f>
        <v>22</v>
      </c>
      <c r="G4638" s="3" t="str">
        <f>"K= "&amp;B4638&amp;"  b= "&amp;B4637&amp;"; a= "&amp;C4637</f>
        <v>K= 9402,4  b= 2; a= 32</v>
      </c>
      <c r="H4638" s="49">
        <f>H4637-35</f>
        <v>315</v>
      </c>
      <c r="I4638" s="49">
        <f>G4637+15</f>
        <v>935</v>
      </c>
      <c r="J4638" s="49"/>
      <c r="K4638" s="49"/>
      <c r="L4638" s="49"/>
      <c r="M4638" s="49"/>
      <c r="N4638" s="49" t="s">
        <v>717</v>
      </c>
      <c r="O4638" s="49"/>
      <c r="P4638" s="49"/>
      <c r="Q4638" s="49">
        <v>0</v>
      </c>
      <c r="R4638" s="49">
        <f>S4638</f>
        <v>64</v>
      </c>
      <c r="S4638" s="49">
        <f>C4637*B4637</f>
        <v>64</v>
      </c>
      <c r="T4638" s="48">
        <f>U4638</f>
        <v>96</v>
      </c>
      <c r="U4638" s="48">
        <f>S4638+C4637*C4616</f>
        <v>96</v>
      </c>
      <c r="V4638" s="49"/>
      <c r="W4638" s="49"/>
      <c r="X4638" s="49"/>
      <c r="Y4638" s="49"/>
      <c r="Z4638" s="49"/>
      <c r="AA4638" s="49"/>
      <c r="AB4638" s="49"/>
      <c r="AC4638" s="49"/>
      <c r="AD4638" s="49"/>
      <c r="AE4638" s="49"/>
      <c r="AF4638" s="49"/>
      <c r="AG4638" s="49"/>
      <c r="AH4638" s="49"/>
      <c r="AI4638" s="49"/>
      <c r="AJ4638" s="49"/>
      <c r="AK4638" s="49"/>
      <c r="AL4638" s="49"/>
    </row>
    <row r="4639" spans="1:38">
      <c r="A4639" s="49"/>
      <c r="B4639" s="49"/>
      <c r="C4639" s="49"/>
      <c r="D4639" s="48">
        <v>4</v>
      </c>
      <c r="E4639" s="48" t="s">
        <v>15</v>
      </c>
      <c r="F4639" s="6">
        <v>3</v>
      </c>
      <c r="G4639" s="50"/>
      <c r="P4639" s="48"/>
      <c r="Q4639" s="48"/>
      <c r="R4639" s="48"/>
      <c r="S4639" s="49"/>
      <c r="T4639" s="49"/>
      <c r="U4639" s="49"/>
      <c r="V4639" s="49"/>
      <c r="W4639" s="49"/>
      <c r="X4639" s="49"/>
      <c r="Y4639" s="49"/>
      <c r="Z4639" s="49"/>
      <c r="AA4639" s="49"/>
      <c r="AB4639" s="49"/>
      <c r="AC4639" s="49"/>
      <c r="AD4639" s="49"/>
      <c r="AE4639" s="49"/>
      <c r="AF4639" s="49"/>
      <c r="AG4639" s="49"/>
      <c r="AH4639" s="49"/>
      <c r="AI4639" s="49"/>
      <c r="AJ4639" s="49"/>
      <c r="AK4639" s="49"/>
      <c r="AL4639" s="49"/>
    </row>
    <row r="4640" spans="1:38">
      <c r="A4640" s="54" t="s">
        <v>42</v>
      </c>
      <c r="B4640" s="48">
        <v>1</v>
      </c>
      <c r="C4640" s="48">
        <f>(20-B4640*2)/0.5</f>
        <v>36</v>
      </c>
      <c r="D4640" s="49"/>
      <c r="E4640" s="49" t="s">
        <v>113</v>
      </c>
      <c r="F4640" s="49">
        <v>14</v>
      </c>
      <c r="G4640" s="7">
        <v>940</v>
      </c>
      <c r="H4640" s="33">
        <v>470</v>
      </c>
      <c r="I4640" s="50">
        <f>G4640+U4640</f>
        <v>1166</v>
      </c>
      <c r="J4640" s="49">
        <f>H4640-U4641</f>
        <v>398</v>
      </c>
      <c r="K4640" s="3" t="s">
        <v>22</v>
      </c>
      <c r="L4640" s="3" t="s">
        <v>21</v>
      </c>
      <c r="M4640" s="49">
        <v>2</v>
      </c>
      <c r="N4640" s="49">
        <v>-1</v>
      </c>
      <c r="O4640" s="49">
        <v>-1</v>
      </c>
      <c r="P4640" s="49">
        <f>COUNT(Q4640:DO4640)</f>
        <v>5</v>
      </c>
      <c r="Q4640" s="49">
        <v>0</v>
      </c>
      <c r="R4640" s="49">
        <f>Q4640+B4615*B4640*(2-2*B4614)</f>
        <v>3.0000000000000004</v>
      </c>
      <c r="S4640" s="49">
        <f>B4640*(B4615-C4615)</f>
        <v>4</v>
      </c>
      <c r="T4640" s="48">
        <f>B4640*B4615+C4640*C4615-(2*C4614-1)*C4615*(B4640+C4640)</f>
        <v>92.799999999999983</v>
      </c>
      <c r="U4640" s="48">
        <f>B4640*B4615+C4640*C4615</f>
        <v>226</v>
      </c>
      <c r="V4640" s="49"/>
      <c r="W4640" s="49"/>
      <c r="X4640" s="49"/>
      <c r="Y4640" s="49"/>
      <c r="Z4640" s="49"/>
      <c r="AA4640" s="49"/>
      <c r="AB4640" s="49"/>
      <c r="AC4640" s="49"/>
      <c r="AD4640" s="49"/>
      <c r="AE4640" s="49"/>
      <c r="AF4640" s="49"/>
      <c r="AG4640" s="49"/>
      <c r="AH4640" s="49"/>
      <c r="AI4640" s="49"/>
      <c r="AJ4640" s="49"/>
      <c r="AK4640" s="49"/>
      <c r="AL4640" s="49"/>
    </row>
    <row r="4641" spans="1:38">
      <c r="A4641" s="49"/>
      <c r="B4641" s="48">
        <f>C4614*C4615*(B4640+C4640)*C4640*C4616+(C4640*C4615+B4640*B4615*B4614)*B4640*B4616</f>
        <v>8638.6</v>
      </c>
      <c r="C4641" s="49"/>
      <c r="D4641" s="49">
        <f>ROUNDUP(6+F4641/2,0)</f>
        <v>17</v>
      </c>
      <c r="E4641" s="49" t="s">
        <v>6</v>
      </c>
      <c r="F4641" s="49">
        <f>LEN(G4641)</f>
        <v>22</v>
      </c>
      <c r="G4641" s="3" t="str">
        <f>"K= "&amp;B4641&amp;"  b= "&amp;B4640&amp;"; a= "&amp;C4640</f>
        <v>K= 8638,6  b= 1; a= 36</v>
      </c>
      <c r="H4641" s="49">
        <f>H4640-35</f>
        <v>435</v>
      </c>
      <c r="I4641" s="49">
        <f>G4640+15</f>
        <v>955</v>
      </c>
      <c r="J4641" s="49"/>
      <c r="K4641" s="49"/>
      <c r="L4641" s="49"/>
      <c r="M4641" s="49"/>
      <c r="N4641" s="49" t="s">
        <v>718</v>
      </c>
      <c r="O4641" s="49" t="s">
        <v>716</v>
      </c>
      <c r="P4641" s="49"/>
      <c r="Q4641" s="49">
        <v>0</v>
      </c>
      <c r="R4641" s="49">
        <f>S4641</f>
        <v>36</v>
      </c>
      <c r="S4641" s="49">
        <f>C4640*B4640</f>
        <v>36</v>
      </c>
      <c r="T4641" s="48">
        <f>U4641</f>
        <v>72</v>
      </c>
      <c r="U4641" s="48">
        <f>S4641+C4640*C4616</f>
        <v>72</v>
      </c>
      <c r="V4641" s="49"/>
      <c r="W4641" s="49"/>
      <c r="X4641" s="49"/>
      <c r="Y4641" s="49"/>
      <c r="Z4641" s="49"/>
      <c r="AA4641" s="49"/>
      <c r="AB4641" s="49"/>
      <c r="AC4641" s="49"/>
      <c r="AD4641" s="49"/>
      <c r="AE4641" s="49"/>
      <c r="AF4641" s="49"/>
      <c r="AG4641" s="49"/>
      <c r="AH4641" s="49"/>
      <c r="AI4641" s="49"/>
      <c r="AJ4641" s="49"/>
      <c r="AK4641" s="49"/>
      <c r="AL4641" s="49"/>
    </row>
    <row r="4642" spans="1:38">
      <c r="A4642" s="49"/>
      <c r="B4642" s="49"/>
      <c r="C4642" s="49"/>
      <c r="D4642" s="48">
        <v>4</v>
      </c>
      <c r="E4642" s="48" t="s">
        <v>15</v>
      </c>
      <c r="F4642" s="6">
        <v>3</v>
      </c>
      <c r="G4642" s="50"/>
      <c r="P4642" s="48"/>
      <c r="Q4642" s="48"/>
      <c r="R4642" s="48"/>
      <c r="S4642" s="49"/>
      <c r="T4642" s="49"/>
      <c r="U4642" s="49"/>
      <c r="V4642" s="49"/>
      <c r="W4642" s="49"/>
      <c r="X4642" s="49"/>
      <c r="Y4642" s="49"/>
      <c r="Z4642" s="49"/>
      <c r="AA4642" s="49"/>
      <c r="AB4642" s="49"/>
      <c r="AC4642" s="49"/>
      <c r="AD4642" s="49"/>
      <c r="AE4642" s="49"/>
      <c r="AF4642" s="49"/>
      <c r="AG4642" s="49"/>
      <c r="AH4642" s="49"/>
      <c r="AI4642" s="49"/>
      <c r="AJ4642" s="49"/>
      <c r="AK4642" s="49"/>
      <c r="AL4642" s="49"/>
    </row>
    <row r="4643" spans="1:38">
      <c r="A4643" s="54"/>
      <c r="B4643" s="48"/>
      <c r="C4643" s="48"/>
      <c r="D4643" s="49"/>
      <c r="E4643" s="49" t="s">
        <v>113</v>
      </c>
      <c r="F4643" s="49">
        <v>14</v>
      </c>
      <c r="G4643" s="7">
        <v>900</v>
      </c>
      <c r="H4643" s="33">
        <v>600</v>
      </c>
      <c r="I4643" s="50">
        <f>G4643+S4643</f>
        <v>1140</v>
      </c>
      <c r="J4643" s="49">
        <f>H4643-S4644</f>
        <v>560</v>
      </c>
      <c r="K4643" s="3" t="s">
        <v>22</v>
      </c>
      <c r="L4643" s="3" t="s">
        <v>729</v>
      </c>
      <c r="M4643" s="49">
        <v>2</v>
      </c>
      <c r="N4643" s="49">
        <v>-1</v>
      </c>
      <c r="O4643" s="49">
        <v>-1</v>
      </c>
      <c r="P4643" s="49">
        <f>COUNT(Q4643:DO4643)</f>
        <v>3</v>
      </c>
      <c r="Q4643" s="49">
        <v>0</v>
      </c>
      <c r="R4643" s="49">
        <f>Q4643+C4615*40*(2-2*C4614)</f>
        <v>95.999999999999972</v>
      </c>
      <c r="S4643" s="49">
        <f>40*C4615</f>
        <v>240</v>
      </c>
      <c r="T4643" s="49"/>
      <c r="U4643" s="49"/>
      <c r="V4643" s="49"/>
      <c r="W4643" s="49"/>
      <c r="X4643" s="49"/>
      <c r="Y4643" s="49"/>
      <c r="Z4643" s="49"/>
      <c r="AA4643" s="49"/>
      <c r="AB4643" s="49"/>
      <c r="AC4643" s="49"/>
      <c r="AD4643" s="49"/>
      <c r="AE4643" s="49"/>
      <c r="AF4643" s="49"/>
      <c r="AG4643" s="49"/>
      <c r="AH4643" s="49"/>
      <c r="AI4643" s="49"/>
      <c r="AJ4643" s="49"/>
      <c r="AK4643" s="49"/>
      <c r="AL4643" s="49"/>
    </row>
    <row r="4644" spans="1:38">
      <c r="A4644" s="49"/>
      <c r="B4644" s="49"/>
      <c r="C4644" s="49"/>
      <c r="D4644" s="49">
        <f>ROUNDUP(6+F4644/2,0)</f>
        <v>15</v>
      </c>
      <c r="E4644" s="49" t="s">
        <v>6</v>
      </c>
      <c r="F4644" s="49">
        <f>LEN(G4644)</f>
        <v>18</v>
      </c>
      <c r="G4644" s="3" t="s">
        <v>715</v>
      </c>
      <c r="H4644" s="49">
        <f>H4643-35</f>
        <v>565</v>
      </c>
      <c r="I4644" s="49">
        <f>G4643+15</f>
        <v>915</v>
      </c>
      <c r="J4644" s="49"/>
      <c r="K4644" s="49"/>
      <c r="L4644" s="49"/>
      <c r="M4644" s="49"/>
      <c r="N4644" s="49"/>
      <c r="O4644" s="49"/>
      <c r="P4644" s="49"/>
      <c r="Q4644" s="49">
        <v>0</v>
      </c>
      <c r="R4644" s="49">
        <f>S4644</f>
        <v>40</v>
      </c>
      <c r="S4644" s="49">
        <f>40*C4616</f>
        <v>40</v>
      </c>
      <c r="T4644" s="49"/>
      <c r="U4644" s="49"/>
      <c r="V4644" s="49"/>
      <c r="W4644" s="49"/>
      <c r="X4644" s="49"/>
      <c r="Y4644" s="49"/>
      <c r="Z4644" s="49"/>
      <c r="AA4644" s="49"/>
      <c r="AB4644" s="49"/>
      <c r="AC4644" s="49"/>
      <c r="AD4644" s="49"/>
      <c r="AE4644" s="49"/>
      <c r="AF4644" s="49"/>
      <c r="AG4644" s="49"/>
      <c r="AH4644" s="49"/>
      <c r="AI4644" s="49"/>
      <c r="AJ4644" s="49"/>
      <c r="AK4644" s="49"/>
      <c r="AL4644" s="49"/>
    </row>
    <row r="4647" spans="1:38">
      <c r="A4647" s="48" t="s">
        <v>383</v>
      </c>
      <c r="B4647" s="1" t="s">
        <v>738</v>
      </c>
      <c r="C4647" s="48"/>
      <c r="D4647" s="48" t="s">
        <v>449</v>
      </c>
      <c r="E4647" s="48">
        <v>52695</v>
      </c>
      <c r="F4647" s="6">
        <v>39622</v>
      </c>
      <c r="G4647" s="6">
        <v>0</v>
      </c>
      <c r="H4647" s="6">
        <v>0</v>
      </c>
      <c r="I4647" s="6">
        <v>0</v>
      </c>
      <c r="J4647" s="6">
        <v>1350</v>
      </c>
      <c r="K4647" s="6">
        <v>600</v>
      </c>
      <c r="L4647" s="6">
        <v>512</v>
      </c>
      <c r="M4647" s="6">
        <v>0</v>
      </c>
      <c r="N4647" s="6">
        <v>0</v>
      </c>
      <c r="O4647" s="6" t="e">
        <f ca="1">checksummeint(G4647,H4647,I4647,J4647,K4647,L4647,M4647,N4647)</f>
        <v>#NAME?</v>
      </c>
      <c r="P4647" s="48"/>
      <c r="Q4647" s="48"/>
      <c r="R4647" s="49"/>
      <c r="S4647" s="49"/>
      <c r="T4647" s="49"/>
      <c r="U4647" s="48"/>
      <c r="V4647" s="48"/>
      <c r="W4647" s="48"/>
      <c r="X4647" s="48"/>
    </row>
    <row r="4648" spans="1:38">
      <c r="A4648" s="1"/>
      <c r="B4648" s="48"/>
      <c r="C4648" s="48">
        <v>0</v>
      </c>
      <c r="D4648" s="48">
        <v>28</v>
      </c>
      <c r="E4648" s="48" t="s">
        <v>12</v>
      </c>
      <c r="F4648" s="6">
        <v>72</v>
      </c>
      <c r="G4648" s="6">
        <v>0</v>
      </c>
      <c r="H4648" s="6">
        <v>0</v>
      </c>
      <c r="I4648" s="6">
        <v>0</v>
      </c>
      <c r="J4648" s="6">
        <v>400</v>
      </c>
      <c r="K4648" s="6">
        <v>0</v>
      </c>
      <c r="L4648" s="6">
        <v>0</v>
      </c>
      <c r="M4648" s="6">
        <v>0</v>
      </c>
      <c r="N4648" s="6">
        <v>0</v>
      </c>
      <c r="O4648" s="6" t="s">
        <v>19</v>
      </c>
      <c r="P4648" s="48"/>
      <c r="Q4648" s="48"/>
      <c r="R4648" s="49"/>
      <c r="S4648" s="49"/>
      <c r="T4648" s="49"/>
      <c r="U4648" s="48"/>
      <c r="V4648" s="48"/>
      <c r="W4648" s="48"/>
      <c r="X4648" s="48"/>
    </row>
    <row r="4649" spans="1:38">
      <c r="A4649" s="48"/>
      <c r="B4649" s="48"/>
      <c r="C4649" s="48">
        <v>1</v>
      </c>
      <c r="D4649" s="48">
        <v>8</v>
      </c>
      <c r="E4649" s="48" t="s">
        <v>14</v>
      </c>
      <c r="F4649" s="6">
        <v>0</v>
      </c>
      <c r="G4649" s="6">
        <v>4</v>
      </c>
      <c r="H4649" s="6">
        <v>0</v>
      </c>
      <c r="I4649" s="6">
        <v>0</v>
      </c>
      <c r="J4649" s="6">
        <v>0</v>
      </c>
      <c r="M4649" s="44"/>
      <c r="P4649" s="48"/>
      <c r="Q4649" s="48"/>
      <c r="R4649" s="49"/>
      <c r="S4649" s="49"/>
      <c r="T4649" s="49"/>
      <c r="U4649" s="48"/>
      <c r="V4649" s="48"/>
      <c r="W4649" s="48"/>
      <c r="X4649" s="48"/>
    </row>
    <row r="4650" spans="1:38">
      <c r="A4650" s="48"/>
      <c r="B4650" s="48"/>
      <c r="C4650" s="48">
        <v>2</v>
      </c>
      <c r="D4650" s="48">
        <v>7</v>
      </c>
      <c r="E4650" s="48" t="s">
        <v>11</v>
      </c>
      <c r="F4650" s="6">
        <v>0</v>
      </c>
      <c r="G4650" s="50">
        <v>0</v>
      </c>
      <c r="H4650" s="50">
        <v>0</v>
      </c>
      <c r="I4650" s="6">
        <v>0</v>
      </c>
      <c r="P4650" s="48"/>
      <c r="Q4650" s="48"/>
      <c r="R4650" s="49"/>
      <c r="S4650" s="49"/>
      <c r="T4650" s="49"/>
      <c r="U4650" s="48"/>
      <c r="V4650" s="48"/>
      <c r="W4650" s="48"/>
      <c r="X4650" s="48"/>
    </row>
    <row r="4651" spans="1:38">
      <c r="A4651" s="48"/>
      <c r="B4651" s="48"/>
      <c r="C4651" s="48">
        <v>3</v>
      </c>
      <c r="D4651" s="48">
        <v>7</v>
      </c>
      <c r="E4651" s="48" t="s">
        <v>11</v>
      </c>
      <c r="F4651" s="6">
        <v>0</v>
      </c>
      <c r="G4651" s="50">
        <v>-64</v>
      </c>
      <c r="H4651" s="50">
        <v>192</v>
      </c>
      <c r="I4651" s="6">
        <v>0</v>
      </c>
      <c r="N4651" s="50"/>
      <c r="P4651" s="48"/>
      <c r="Q4651" s="48"/>
      <c r="R4651" s="49"/>
      <c r="S4651" s="49"/>
      <c r="T4651" s="49"/>
      <c r="U4651" s="48"/>
      <c r="V4651" s="48"/>
      <c r="W4651" s="48"/>
      <c r="X4651" s="48"/>
    </row>
    <row r="4652" spans="1:38">
      <c r="A4652" s="48"/>
      <c r="B4652" s="48"/>
      <c r="C4652" s="48">
        <v>4</v>
      </c>
      <c r="D4652" s="48">
        <v>7</v>
      </c>
      <c r="E4652" s="48" t="s">
        <v>11</v>
      </c>
      <c r="F4652" s="6">
        <v>0</v>
      </c>
      <c r="G4652" s="50">
        <v>-1</v>
      </c>
      <c r="H4652" s="50">
        <v>255</v>
      </c>
      <c r="I4652" s="6">
        <v>0</v>
      </c>
      <c r="N4652" s="50"/>
      <c r="P4652" s="48"/>
      <c r="Q4652" s="48"/>
      <c r="R4652" s="49"/>
      <c r="S4652" s="49"/>
      <c r="T4652" s="49"/>
      <c r="U4652" s="48"/>
      <c r="V4652" s="48"/>
      <c r="W4652" s="48"/>
      <c r="X4652" s="48"/>
    </row>
    <row r="4653" spans="1:38">
      <c r="A4653" s="48"/>
      <c r="B4653" s="48"/>
      <c r="C4653" s="48">
        <v>5</v>
      </c>
      <c r="D4653" s="48">
        <v>8</v>
      </c>
      <c r="E4653" s="48" t="s">
        <v>14</v>
      </c>
      <c r="F4653" s="6">
        <v>5</v>
      </c>
      <c r="G4653" s="6">
        <v>4</v>
      </c>
      <c r="H4653" s="6">
        <v>0</v>
      </c>
      <c r="I4653" s="6">
        <v>0</v>
      </c>
      <c r="J4653" s="6">
        <v>0</v>
      </c>
      <c r="N4653" s="50"/>
      <c r="P4653" s="48"/>
      <c r="Q4653" s="48"/>
      <c r="R4653" s="49"/>
      <c r="S4653" s="49"/>
      <c r="T4653" s="49"/>
      <c r="U4653" s="48"/>
      <c r="V4653" s="48"/>
      <c r="W4653" s="48"/>
      <c r="X4653" s="48"/>
    </row>
    <row r="4654" spans="1:38">
      <c r="A4654" s="1"/>
      <c r="B4654" s="1"/>
      <c r="C4654" s="48"/>
      <c r="D4654" s="48">
        <v>5</v>
      </c>
      <c r="E4654" s="48" t="s">
        <v>59</v>
      </c>
      <c r="F4654" s="6">
        <v>1</v>
      </c>
      <c r="G4654" s="6">
        <v>0</v>
      </c>
      <c r="P4654" s="48"/>
      <c r="Q4654" s="48"/>
      <c r="R4654" s="49"/>
      <c r="S4654" s="49"/>
      <c r="T4654" s="49"/>
      <c r="U4654" s="48"/>
      <c r="V4654" s="48"/>
      <c r="W4654" s="49"/>
      <c r="X4654" s="49"/>
    </row>
    <row r="4655" spans="1:38">
      <c r="A4655" s="1"/>
      <c r="B4655" s="1"/>
      <c r="C4655" s="48"/>
      <c r="D4655" s="48">
        <v>4</v>
      </c>
      <c r="E4655" s="48" t="s">
        <v>15</v>
      </c>
      <c r="F4655" s="6">
        <v>0</v>
      </c>
      <c r="N4655" s="31"/>
      <c r="P4655" s="48"/>
      <c r="Q4655" s="48"/>
      <c r="R4655" s="49"/>
      <c r="S4655" s="49"/>
      <c r="T4655" s="49"/>
      <c r="U4655" s="48"/>
      <c r="V4655" s="48"/>
      <c r="W4655" s="49"/>
      <c r="X4655" s="49"/>
    </row>
    <row r="4656" spans="1:38">
      <c r="A4656" s="1"/>
      <c r="B4656" s="1"/>
      <c r="C4656" s="48"/>
      <c r="D4656" s="48">
        <v>4</v>
      </c>
      <c r="E4656" s="48" t="s">
        <v>15</v>
      </c>
      <c r="F4656" s="6">
        <v>1</v>
      </c>
      <c r="G4656" s="50"/>
      <c r="P4656" s="48"/>
      <c r="Q4656" s="48"/>
      <c r="R4656" s="50"/>
      <c r="S4656" s="50"/>
      <c r="T4656" s="50"/>
      <c r="U4656" s="48"/>
      <c r="V4656" s="48"/>
      <c r="W4656" s="49"/>
      <c r="X4656" s="49"/>
    </row>
    <row r="4657" spans="1:24">
      <c r="A4657" s="1"/>
      <c r="B4657" s="1"/>
      <c r="C4657" s="48"/>
      <c r="D4657" s="49"/>
      <c r="E4657" s="49" t="s">
        <v>113</v>
      </c>
      <c r="F4657" s="49">
        <v>40</v>
      </c>
      <c r="G4657" s="49">
        <v>150</v>
      </c>
      <c r="H4657" s="50">
        <v>500</v>
      </c>
      <c r="I4657" s="50">
        <v>1200</v>
      </c>
      <c r="J4657" s="49">
        <v>100</v>
      </c>
      <c r="K4657" s="49" t="s">
        <v>17</v>
      </c>
      <c r="L4657" s="49">
        <v>-1</v>
      </c>
      <c r="M4657" s="49">
        <v>0</v>
      </c>
      <c r="N4657" s="49">
        <f>COUNT(S4657:CA4657)</f>
        <v>6</v>
      </c>
      <c r="O4657" s="49">
        <v>0</v>
      </c>
      <c r="P4657" s="49">
        <v>0</v>
      </c>
      <c r="Q4657" s="49">
        <v>2</v>
      </c>
      <c r="R4657" s="49" t="s">
        <v>740</v>
      </c>
      <c r="S4657" s="48">
        <v>0</v>
      </c>
      <c r="T4657" s="48">
        <v>0</v>
      </c>
      <c r="U4657" s="48">
        <v>14.3</v>
      </c>
      <c r="V4657" s="48">
        <v>17.100000000000001</v>
      </c>
      <c r="W4657" s="48">
        <v>20</v>
      </c>
      <c r="X4657" s="49">
        <v>34.299999999999997</v>
      </c>
    </row>
    <row r="4658" spans="1:24">
      <c r="A4658" s="1"/>
      <c r="B4658" s="1"/>
      <c r="C4658" s="48"/>
      <c r="D4658" s="48">
        <v>4</v>
      </c>
      <c r="E4658" s="48" t="s">
        <v>15</v>
      </c>
      <c r="F4658" s="6">
        <v>3</v>
      </c>
      <c r="G4658" s="49"/>
      <c r="H4658" s="50"/>
      <c r="I4658" s="50"/>
      <c r="J4658" s="49"/>
      <c r="K4658" s="49" t="s">
        <v>741</v>
      </c>
      <c r="L4658" s="49">
        <v>-1</v>
      </c>
      <c r="M4658" s="49"/>
      <c r="N4658" s="49"/>
      <c r="O4658" s="49"/>
      <c r="P4658" s="49"/>
      <c r="Q4658" s="49">
        <v>3</v>
      </c>
      <c r="R4658" s="49" t="s">
        <v>739</v>
      </c>
      <c r="S4658" s="6">
        <v>5600</v>
      </c>
      <c r="T4658" s="48">
        <v>5760</v>
      </c>
      <c r="U4658" s="48">
        <v>5858</v>
      </c>
      <c r="V4658" s="48">
        <v>5852</v>
      </c>
      <c r="W4658" s="48">
        <v>5838</v>
      </c>
      <c r="X4658" s="48">
        <v>5642</v>
      </c>
    </row>
    <row r="4659" spans="1:24">
      <c r="A4659" s="1"/>
      <c r="B4659" s="1"/>
      <c r="C4659" s="48"/>
      <c r="D4659" s="48">
        <v>4</v>
      </c>
      <c r="E4659" s="48" t="s">
        <v>15</v>
      </c>
      <c r="F4659" s="6">
        <v>5</v>
      </c>
      <c r="G4659" s="49"/>
      <c r="H4659" s="50"/>
      <c r="I4659" s="50"/>
      <c r="J4659" s="49"/>
      <c r="K4659" s="49"/>
      <c r="L4659" s="49"/>
      <c r="M4659" s="49"/>
      <c r="N4659" s="49"/>
      <c r="O4659" s="49"/>
      <c r="P4659" s="49"/>
      <c r="Q4659" s="6"/>
      <c r="R4659" s="48"/>
      <c r="S4659" s="48"/>
      <c r="T4659" s="48"/>
      <c r="U4659" s="48"/>
      <c r="V4659" s="48"/>
      <c r="W4659" s="49"/>
      <c r="X4659" s="49"/>
    </row>
    <row r="4660" spans="1:24">
      <c r="A4660" s="49"/>
      <c r="B4660" s="49"/>
      <c r="C4660" s="49"/>
      <c r="D4660" s="13">
        <v>11</v>
      </c>
      <c r="E4660" s="48" t="s">
        <v>99</v>
      </c>
      <c r="F4660" s="49">
        <f t="shared" ref="F4660:M4660" si="352">F4662</f>
        <v>250</v>
      </c>
      <c r="G4660" s="49">
        <f t="shared" si="352"/>
        <v>150</v>
      </c>
      <c r="H4660" s="49">
        <f t="shared" si="352"/>
        <v>433</v>
      </c>
      <c r="I4660" s="49">
        <f t="shared" si="352"/>
        <v>1200</v>
      </c>
      <c r="J4660" s="49">
        <f t="shared" si="352"/>
        <v>102.22883470925126</v>
      </c>
      <c r="K4660" s="49">
        <f t="shared" si="352"/>
        <v>-138.50415859178713</v>
      </c>
      <c r="L4660" s="49">
        <f t="shared" si="352"/>
        <v>1558.7835626404492</v>
      </c>
      <c r="M4660" s="49">
        <f t="shared" si="352"/>
        <v>1318.0505693394107</v>
      </c>
      <c r="N4660" s="49"/>
      <c r="O4660" s="49"/>
      <c r="P4660" s="48"/>
      <c r="Q4660" s="48"/>
      <c r="R4660" s="48"/>
      <c r="S4660" s="49"/>
      <c r="T4660" s="49"/>
      <c r="U4660" s="49"/>
      <c r="V4660" s="49"/>
      <c r="W4660" s="49"/>
      <c r="X4660" s="49"/>
    </row>
    <row r="4661" spans="1:24">
      <c r="A4661" s="49"/>
      <c r="B4661" s="49"/>
      <c r="C4661" s="49"/>
      <c r="D4661" s="49">
        <v>4</v>
      </c>
      <c r="E4661" s="49" t="s">
        <v>15</v>
      </c>
      <c r="F4661" s="49">
        <v>1</v>
      </c>
      <c r="G4661" s="49"/>
      <c r="H4661" s="49"/>
      <c r="I4661" s="49"/>
      <c r="J4661" s="49"/>
      <c r="K4661" s="49"/>
      <c r="L4661" s="49"/>
      <c r="M4661" s="49"/>
      <c r="N4661" s="49"/>
      <c r="O4661" s="49"/>
      <c r="P4661" s="48"/>
      <c r="Q4661" s="48"/>
      <c r="R4661" s="48"/>
      <c r="S4661" s="49"/>
      <c r="T4661" s="49"/>
      <c r="U4661" s="49"/>
      <c r="V4661" s="49"/>
      <c r="W4661" s="49"/>
      <c r="X4661" s="49"/>
    </row>
    <row r="4662" spans="1:24">
      <c r="A4662" s="13">
        <f>((O4662^2-I4662^2+N4662^2-H4662^2)*(G4662-I4662)-(G4662^2-I4662^2+F4662^2-H4662^2)*(O4662-I4662))/(2*((N4662-H4662)*(G4662-I4662)-(F4662-H4662)*(O4662-I4662)))</f>
        <v>830.50619867485022</v>
      </c>
      <c r="B4662" s="14">
        <f>(G4662^2-I4662^2+F4662^2-H4662^2-2*A4662*(F4662-H4662))/(2*(G4662-I4662))</f>
        <v>589.77320537381183</v>
      </c>
      <c r="C4662" s="13">
        <f>SQRT((H4662-A4662)^2+(I4662-B4662)^2)</f>
        <v>728.27736396559897</v>
      </c>
      <c r="D4662" s="13">
        <v>11</v>
      </c>
      <c r="E4662" s="13" t="s">
        <v>98</v>
      </c>
      <c r="F4662" s="28">
        <f>H4667</f>
        <v>250</v>
      </c>
      <c r="G4662" s="28">
        <f>G4667</f>
        <v>150</v>
      </c>
      <c r="H4662" s="28">
        <f>L4667</f>
        <v>433</v>
      </c>
      <c r="I4662" s="28">
        <f>K4667</f>
        <v>1200</v>
      </c>
      <c r="J4662" s="13">
        <f>A4662-C4662</f>
        <v>102.22883470925126</v>
      </c>
      <c r="K4662" s="13">
        <f>B4662-C4662</f>
        <v>-138.50415859178713</v>
      </c>
      <c r="L4662" s="13">
        <f>A4662+C4662</f>
        <v>1558.7835626404492</v>
      </c>
      <c r="M4662" s="13">
        <f>B4662+C4662</f>
        <v>1318.0505693394107</v>
      </c>
      <c r="N4662" s="15">
        <f>J4667</f>
        <v>107</v>
      </c>
      <c r="O4662" s="15">
        <f>I4667</f>
        <v>673</v>
      </c>
      <c r="P4662" s="48"/>
      <c r="Q4662" s="48"/>
      <c r="R4662" s="48"/>
      <c r="S4662" s="48"/>
      <c r="T4662" s="49"/>
      <c r="U4662" s="49"/>
      <c r="V4662" s="49"/>
      <c r="W4662" s="49"/>
      <c r="X4662" s="49"/>
    </row>
    <row r="4663" spans="1:24">
      <c r="A4663" s="49"/>
      <c r="B4663" s="49"/>
      <c r="C4663" s="49"/>
      <c r="D4663" s="48">
        <v>7</v>
      </c>
      <c r="E4663" s="48" t="s">
        <v>0</v>
      </c>
      <c r="F4663" s="49">
        <v>115</v>
      </c>
      <c r="G4663" s="49">
        <v>605</v>
      </c>
      <c r="H4663" s="49">
        <f>F4663-30</f>
        <v>85</v>
      </c>
      <c r="I4663" s="49">
        <f>G4663-30</f>
        <v>575</v>
      </c>
      <c r="J4663" s="49"/>
      <c r="K4663" s="49"/>
      <c r="L4663" s="49"/>
      <c r="M4663" s="49"/>
      <c r="N4663" s="49"/>
      <c r="O4663" s="49"/>
      <c r="P4663" s="48"/>
      <c r="Q4663" s="48"/>
      <c r="R4663" s="48"/>
      <c r="S4663" s="49"/>
      <c r="T4663" s="49"/>
      <c r="U4663" s="49"/>
      <c r="V4663" s="49"/>
      <c r="W4663" s="49"/>
      <c r="X4663" s="49"/>
    </row>
    <row r="4664" spans="1:24">
      <c r="A4664" s="49"/>
      <c r="B4664" s="49"/>
      <c r="C4664" s="49"/>
      <c r="D4664" s="48">
        <v>4</v>
      </c>
      <c r="E4664" s="48" t="s">
        <v>15</v>
      </c>
      <c r="F4664" s="6">
        <v>2</v>
      </c>
      <c r="G4664" s="49"/>
      <c r="H4664" s="49"/>
      <c r="I4664" s="49"/>
      <c r="J4664" s="49"/>
      <c r="K4664" s="49"/>
      <c r="L4664" s="49"/>
      <c r="M4664" s="49"/>
      <c r="N4664" s="49"/>
      <c r="O4664" s="49"/>
      <c r="P4664" s="48"/>
      <c r="Q4664" s="48"/>
      <c r="R4664" s="48"/>
      <c r="S4664" s="49"/>
      <c r="T4664" s="49"/>
      <c r="U4664" s="49"/>
      <c r="V4664" s="49"/>
      <c r="W4664" s="49"/>
      <c r="X4664" s="49"/>
    </row>
    <row r="4665" spans="1:24">
      <c r="A4665" s="48"/>
      <c r="B4665" s="48"/>
      <c r="C4665" s="48"/>
      <c r="D4665" s="49">
        <v>18</v>
      </c>
      <c r="E4665" s="49" t="s">
        <v>111</v>
      </c>
      <c r="F4665" s="50">
        <v>40</v>
      </c>
      <c r="G4665" s="50">
        <v>588</v>
      </c>
      <c r="H4665" s="50">
        <v>520</v>
      </c>
      <c r="I4665" s="50">
        <v>588</v>
      </c>
      <c r="J4665" s="50">
        <v>150</v>
      </c>
      <c r="K4665" s="49"/>
      <c r="L4665" s="49"/>
      <c r="M4665" s="48"/>
      <c r="N4665" s="48"/>
      <c r="O4665" s="48"/>
      <c r="P4665" s="48"/>
      <c r="Q4665" s="48"/>
      <c r="R4665" s="48"/>
      <c r="S4665" s="49"/>
      <c r="T4665" s="49"/>
      <c r="U4665" s="49"/>
      <c r="V4665" s="49"/>
      <c r="W4665" s="49"/>
      <c r="X4665" s="49"/>
    </row>
    <row r="4666" spans="1:24">
      <c r="A4666" s="1" t="s">
        <v>16</v>
      </c>
      <c r="B4666" s="48"/>
      <c r="C4666" s="49"/>
      <c r="D4666" s="48"/>
      <c r="E4666" s="48"/>
      <c r="F4666" s="49"/>
      <c r="G4666" s="49"/>
      <c r="H4666" s="49"/>
      <c r="I4666" s="49"/>
      <c r="J4666" s="49"/>
      <c r="K4666" s="49"/>
      <c r="L4666" s="49"/>
      <c r="M4666" s="48"/>
      <c r="N4666" s="48"/>
      <c r="O4666" s="48"/>
      <c r="P4666" s="48"/>
      <c r="Q4666" s="48"/>
      <c r="R4666" s="48"/>
      <c r="S4666" s="48"/>
      <c r="T4666" s="48"/>
      <c r="U4666" s="48"/>
      <c r="V4666" s="48"/>
      <c r="W4666" s="49"/>
      <c r="X4666" s="49"/>
    </row>
    <row r="4667" spans="1:24">
      <c r="A4667" s="49" t="s">
        <v>644</v>
      </c>
      <c r="B4667" s="49"/>
      <c r="C4667" s="49"/>
      <c r="D4667" s="49">
        <v>10</v>
      </c>
      <c r="E4667" s="49" t="s">
        <v>1</v>
      </c>
      <c r="F4667" s="50">
        <v>3</v>
      </c>
      <c r="G4667" s="50">
        <v>150</v>
      </c>
      <c r="H4667" s="50">
        <v>250</v>
      </c>
      <c r="I4667" s="49">
        <v>673</v>
      </c>
      <c r="J4667" s="49">
        <v>107</v>
      </c>
      <c r="K4667" s="49">
        <v>1200</v>
      </c>
      <c r="L4667" s="49">
        <v>433</v>
      </c>
      <c r="M4667" s="48"/>
      <c r="N4667" s="48"/>
      <c r="O4667" s="48"/>
      <c r="P4667" s="48"/>
      <c r="Q4667" s="48"/>
      <c r="R4667" s="48"/>
      <c r="S4667" s="48"/>
      <c r="T4667" s="48"/>
      <c r="U4667" s="48"/>
      <c r="V4667" s="48"/>
      <c r="W4667" s="49"/>
      <c r="X4667" s="49"/>
    </row>
    <row r="4671" spans="1:24">
      <c r="A4671" s="48" t="s">
        <v>383</v>
      </c>
      <c r="B4671" s="1" t="s">
        <v>742</v>
      </c>
      <c r="C4671" s="48"/>
      <c r="D4671" s="48" t="s">
        <v>449</v>
      </c>
      <c r="E4671" s="48">
        <v>52695</v>
      </c>
      <c r="F4671" s="6">
        <v>39622</v>
      </c>
      <c r="G4671" s="6">
        <v>0</v>
      </c>
      <c r="H4671" s="6">
        <v>0</v>
      </c>
      <c r="I4671" s="6">
        <v>0</v>
      </c>
      <c r="J4671" s="6">
        <v>960</v>
      </c>
      <c r="K4671" s="6">
        <v>207</v>
      </c>
      <c r="L4671" s="6">
        <v>192</v>
      </c>
      <c r="M4671" s="6">
        <v>0</v>
      </c>
      <c r="N4671" s="6">
        <v>0</v>
      </c>
      <c r="O4671" s="6" t="e">
        <f ca="1">checksummeint(G4671,H4671,I4671,J4671,K4671,L4671,M4671,N4671)</f>
        <v>#NAME?</v>
      </c>
      <c r="P4671" s="48"/>
    </row>
    <row r="4672" spans="1:24">
      <c r="A4672" s="48"/>
      <c r="B4672" s="48"/>
      <c r="C4672" s="48"/>
      <c r="D4672" s="48">
        <v>28</v>
      </c>
      <c r="E4672" s="48" t="s">
        <v>12</v>
      </c>
      <c r="F4672" s="6">
        <v>36</v>
      </c>
      <c r="G4672" s="6">
        <v>0</v>
      </c>
      <c r="H4672" s="6">
        <v>0</v>
      </c>
      <c r="I4672" s="6">
        <v>0</v>
      </c>
      <c r="J4672" s="6">
        <v>400</v>
      </c>
      <c r="K4672" s="6">
        <v>0</v>
      </c>
      <c r="L4672" s="6">
        <v>0</v>
      </c>
      <c r="M4672" s="6">
        <v>0</v>
      </c>
      <c r="N4672" s="6">
        <v>0</v>
      </c>
      <c r="O4672" s="6" t="s">
        <v>19</v>
      </c>
      <c r="P4672" s="48"/>
    </row>
    <row r="4673" spans="1:16">
      <c r="A4673" s="48"/>
      <c r="B4673" s="48"/>
      <c r="C4673" s="48"/>
      <c r="D4673" s="48">
        <v>8</v>
      </c>
      <c r="E4673" s="48" t="s">
        <v>14</v>
      </c>
      <c r="F4673" s="6">
        <v>0</v>
      </c>
      <c r="G4673" s="6">
        <v>2</v>
      </c>
      <c r="H4673" s="6">
        <v>0</v>
      </c>
      <c r="I4673" s="6">
        <v>0</v>
      </c>
      <c r="J4673" s="6">
        <v>0</v>
      </c>
      <c r="P4673" s="48"/>
    </row>
    <row r="4674" spans="1:16">
      <c r="A4674" s="48"/>
      <c r="B4674" s="48"/>
      <c r="C4674" s="48"/>
      <c r="D4674" s="48">
        <v>8</v>
      </c>
      <c r="E4674" s="48" t="s">
        <v>14</v>
      </c>
      <c r="F4674" s="6">
        <v>0</v>
      </c>
      <c r="G4674" s="6">
        <v>5</v>
      </c>
      <c r="H4674" s="6">
        <v>0</v>
      </c>
      <c r="I4674" s="6">
        <v>0</v>
      </c>
      <c r="J4674" s="6">
        <v>0</v>
      </c>
      <c r="P4674" s="48"/>
    </row>
    <row r="4675" spans="1:16">
      <c r="A4675" s="48"/>
      <c r="B4675" s="48"/>
      <c r="C4675" s="48"/>
      <c r="D4675" s="48">
        <v>7</v>
      </c>
      <c r="E4675" s="48" t="s">
        <v>11</v>
      </c>
      <c r="F4675" s="6">
        <v>0</v>
      </c>
      <c r="G4675" s="6">
        <v>-1</v>
      </c>
      <c r="H4675" s="6">
        <v>255</v>
      </c>
      <c r="I4675" s="6">
        <v>0</v>
      </c>
      <c r="P4675" s="48"/>
    </row>
    <row r="4676" spans="1:16">
      <c r="A4676" s="48"/>
      <c r="B4676" s="48"/>
      <c r="C4676" s="48"/>
      <c r="D4676" s="48">
        <v>7</v>
      </c>
      <c r="E4676" s="48" t="s">
        <v>11</v>
      </c>
      <c r="F4676" s="6">
        <v>0</v>
      </c>
      <c r="G4676" s="6">
        <v>0</v>
      </c>
      <c r="H4676" s="6">
        <v>0</v>
      </c>
      <c r="I4676" s="6">
        <v>0</v>
      </c>
      <c r="P4676" s="48"/>
    </row>
    <row r="4677" spans="1:16">
      <c r="A4677" s="48"/>
      <c r="B4677" s="48"/>
      <c r="C4677" s="48"/>
      <c r="D4677" s="48">
        <v>4</v>
      </c>
      <c r="E4677" s="48" t="s">
        <v>15</v>
      </c>
      <c r="F4677" s="6">
        <v>0</v>
      </c>
      <c r="P4677" s="48"/>
    </row>
    <row r="4678" spans="1:16">
      <c r="A4678" s="48"/>
      <c r="B4678" s="48"/>
      <c r="C4678" s="48"/>
      <c r="D4678" s="48">
        <v>4</v>
      </c>
      <c r="E4678" s="48" t="s">
        <v>15</v>
      </c>
      <c r="F4678" s="6">
        <v>2</v>
      </c>
      <c r="G4678" s="50"/>
      <c r="P4678" s="48"/>
    </row>
    <row r="4679" spans="1:16">
      <c r="A4679" s="48"/>
      <c r="B4679" s="48"/>
      <c r="C4679" s="48"/>
      <c r="D4679" s="48">
        <v>4</v>
      </c>
      <c r="E4679" s="48" t="s">
        <v>15</v>
      </c>
      <c r="F4679" s="6">
        <v>4</v>
      </c>
      <c r="P4679" s="48"/>
    </row>
    <row r="4680" spans="1:16">
      <c r="A4680" s="48"/>
      <c r="B4680" s="48"/>
      <c r="C4680" s="48"/>
      <c r="D4680" s="48">
        <v>5</v>
      </c>
      <c r="E4680" s="48" t="s">
        <v>59</v>
      </c>
      <c r="F4680" s="6">
        <v>1</v>
      </c>
      <c r="G4680" s="6">
        <v>0</v>
      </c>
      <c r="P4680" s="48"/>
    </row>
    <row r="4681" spans="1:16">
      <c r="A4681" s="48"/>
      <c r="B4681" s="48"/>
      <c r="C4681" s="48"/>
      <c r="D4681" s="48">
        <v>11</v>
      </c>
      <c r="E4681" s="3" t="s">
        <v>98</v>
      </c>
      <c r="F4681" s="48">
        <f>J4681/2+L4681/2</f>
        <v>175</v>
      </c>
      <c r="G4681" s="48">
        <f>K4681</f>
        <v>200</v>
      </c>
      <c r="H4681" s="48">
        <f>J4681</f>
        <v>50</v>
      </c>
      <c r="I4681" s="48">
        <f>K4681/2+M4681/2</f>
        <v>400</v>
      </c>
      <c r="J4681" s="6">
        <v>50</v>
      </c>
      <c r="K4681" s="6">
        <v>200</v>
      </c>
      <c r="L4681" s="50">
        <f>J4681+250</f>
        <v>300</v>
      </c>
      <c r="M4681" s="50">
        <f>K4681+400</f>
        <v>600</v>
      </c>
      <c r="P4681" s="48"/>
    </row>
    <row r="4682" spans="1:16">
      <c r="A4682" s="48"/>
      <c r="B4682" s="48"/>
      <c r="C4682" s="48"/>
      <c r="D4682" s="48">
        <v>11</v>
      </c>
      <c r="E4682" s="3" t="s">
        <v>98</v>
      </c>
      <c r="F4682" s="48">
        <f>J4682</f>
        <v>50</v>
      </c>
      <c r="G4682" s="48">
        <f>K4682/2+M4682/2</f>
        <v>740</v>
      </c>
      <c r="H4682" s="48">
        <f>J4682/2+L4682/2</f>
        <v>175</v>
      </c>
      <c r="I4682" s="48">
        <f>M4682</f>
        <v>940</v>
      </c>
      <c r="J4682" s="6">
        <v>50</v>
      </c>
      <c r="K4682" s="6">
        <v>540</v>
      </c>
      <c r="L4682" s="50">
        <f>J4682+250</f>
        <v>300</v>
      </c>
      <c r="M4682" s="50">
        <f>K4682+400</f>
        <v>940</v>
      </c>
      <c r="P4682" s="48"/>
    </row>
    <row r="4683" spans="1:16">
      <c r="A4683" s="48"/>
      <c r="B4683" s="48"/>
      <c r="C4683" s="48"/>
      <c r="D4683" s="48">
        <v>4</v>
      </c>
      <c r="E4683" s="48" t="s">
        <v>15</v>
      </c>
      <c r="F4683" s="6">
        <v>1</v>
      </c>
      <c r="G4683" s="48"/>
      <c r="H4683" s="48"/>
      <c r="I4683" s="48"/>
      <c r="L4683" s="50"/>
      <c r="M4683" s="50"/>
      <c r="P4683" s="48"/>
    </row>
    <row r="4684" spans="1:16">
      <c r="A4684" s="48"/>
      <c r="B4684" s="48"/>
      <c r="C4684" s="48"/>
      <c r="D4684" s="49">
        <f>F4684*2+4</f>
        <v>10</v>
      </c>
      <c r="E4684" s="3" t="s">
        <v>4</v>
      </c>
      <c r="F4684" s="49">
        <v>3</v>
      </c>
      <c r="G4684" s="49">
        <f>K4684-15</f>
        <v>185</v>
      </c>
      <c r="H4684" s="50">
        <f>F4681</f>
        <v>175</v>
      </c>
      <c r="I4684" s="50">
        <f>K4684+15</f>
        <v>215</v>
      </c>
      <c r="J4684" s="49">
        <f>H4684</f>
        <v>175</v>
      </c>
      <c r="K4684" s="6">
        <f>G4681</f>
        <v>200</v>
      </c>
      <c r="L4684" s="50">
        <f>J4684+30</f>
        <v>205</v>
      </c>
      <c r="M4684" s="50"/>
      <c r="P4684" s="48"/>
    </row>
    <row r="4685" spans="1:16">
      <c r="A4685" s="48"/>
      <c r="B4685" s="48"/>
      <c r="C4685" s="48"/>
      <c r="D4685" s="49">
        <f>F4685*2+4</f>
        <v>10</v>
      </c>
      <c r="E4685" s="3" t="s">
        <v>4</v>
      </c>
      <c r="F4685" s="49">
        <v>3</v>
      </c>
      <c r="G4685" s="49">
        <f>K4685-15</f>
        <v>925</v>
      </c>
      <c r="H4685" s="50">
        <f>H4682</f>
        <v>175</v>
      </c>
      <c r="I4685" s="50">
        <f>K4685+15</f>
        <v>955</v>
      </c>
      <c r="J4685" s="49">
        <f>H4685</f>
        <v>175</v>
      </c>
      <c r="K4685" s="6">
        <f>I4682</f>
        <v>940</v>
      </c>
      <c r="L4685" s="50">
        <f>J4685+30</f>
        <v>205</v>
      </c>
      <c r="M4685" s="50"/>
      <c r="P4685" s="48"/>
    </row>
    <row r="4686" spans="1:16">
      <c r="A4686" s="48"/>
      <c r="B4686" s="48"/>
      <c r="C4686" s="48"/>
      <c r="D4686" s="48">
        <v>4</v>
      </c>
      <c r="E4686" s="48" t="s">
        <v>15</v>
      </c>
      <c r="F4686" s="6">
        <v>3</v>
      </c>
      <c r="G4686" s="48"/>
      <c r="H4686" s="48"/>
      <c r="I4686" s="48"/>
      <c r="L4686" s="50"/>
      <c r="M4686" s="50"/>
      <c r="P4686" s="48"/>
    </row>
    <row r="4687" spans="1:16">
      <c r="A4687" s="48"/>
      <c r="B4687" s="48"/>
      <c r="C4687" s="48"/>
      <c r="D4687" s="49">
        <v>7</v>
      </c>
      <c r="E4687" s="49" t="s">
        <v>5</v>
      </c>
      <c r="F4687" s="50">
        <v>2</v>
      </c>
      <c r="G4687" s="6">
        <v>400</v>
      </c>
      <c r="H4687" s="6">
        <v>140</v>
      </c>
      <c r="I4687" s="6">
        <v>740</v>
      </c>
      <c r="P4687" s="48"/>
    </row>
    <row r="4688" spans="1:16">
      <c r="A4688" s="48"/>
      <c r="B4688" s="48"/>
      <c r="C4688" s="48"/>
      <c r="D4688" s="49">
        <v>7</v>
      </c>
      <c r="E4688" s="49" t="s">
        <v>5</v>
      </c>
      <c r="F4688" s="49">
        <v>42</v>
      </c>
      <c r="G4688" s="49">
        <f>G4687-200</f>
        <v>200</v>
      </c>
      <c r="H4688" s="49">
        <f>F4688+50</f>
        <v>92</v>
      </c>
      <c r="I4688" s="6">
        <f>G4688+100</f>
        <v>300</v>
      </c>
      <c r="P4688" s="48"/>
    </row>
    <row r="4689" spans="1:16">
      <c r="A4689" s="48"/>
      <c r="B4689" s="48"/>
      <c r="C4689" s="48"/>
      <c r="D4689" s="49">
        <v>7</v>
      </c>
      <c r="E4689" s="49" t="s">
        <v>5</v>
      </c>
      <c r="F4689" s="49">
        <f>F4688</f>
        <v>42</v>
      </c>
      <c r="G4689" s="49">
        <f>I4687+100</f>
        <v>840</v>
      </c>
      <c r="H4689" s="49">
        <f>F4689+50</f>
        <v>92</v>
      </c>
      <c r="I4689" s="6">
        <f>G4689+100</f>
        <v>940</v>
      </c>
      <c r="P4689" s="48"/>
    </row>
    <row r="4690" spans="1:16">
      <c r="A4690" s="48"/>
      <c r="B4690" s="48"/>
      <c r="C4690" s="48"/>
      <c r="D4690" s="49">
        <f>ROUNDUP(6+F4690/2,0)</f>
        <v>10</v>
      </c>
      <c r="E4690" s="49" t="s">
        <v>6</v>
      </c>
      <c r="F4690" s="49">
        <f>LEN(G4690)</f>
        <v>7</v>
      </c>
      <c r="G4690" s="49" t="s">
        <v>743</v>
      </c>
      <c r="H4690" s="50">
        <v>10</v>
      </c>
      <c r="I4690" s="50">
        <v>500</v>
      </c>
      <c r="P4690" s="48"/>
    </row>
    <row r="4691" spans="1:16">
      <c r="A4691" s="48"/>
      <c r="B4691" s="48"/>
      <c r="C4691" s="48"/>
      <c r="D4691" s="48"/>
      <c r="E4691" s="49" t="s">
        <v>515</v>
      </c>
      <c r="F4691" s="3" t="s">
        <v>745</v>
      </c>
      <c r="G4691" s="50">
        <v>420</v>
      </c>
      <c r="H4691" s="50">
        <v>50</v>
      </c>
      <c r="I4691" s="49">
        <v>235</v>
      </c>
      <c r="J4691" s="49">
        <v>860</v>
      </c>
      <c r="P4691" s="48"/>
    </row>
    <row r="4692" spans="1:16">
      <c r="A4692" s="48"/>
      <c r="B4692" s="48"/>
      <c r="C4692" s="48"/>
      <c r="D4692" s="49">
        <f>ROUNDUP(6+F4692/2,0)</f>
        <v>17</v>
      </c>
      <c r="E4692" s="49" t="s">
        <v>6</v>
      </c>
      <c r="F4692" s="49">
        <f>LEN(G4692)</f>
        <v>22</v>
      </c>
      <c r="G4692" s="3" t="s">
        <v>744</v>
      </c>
      <c r="H4692" s="50">
        <v>90</v>
      </c>
      <c r="I4692" s="50">
        <v>420</v>
      </c>
      <c r="P4692" s="4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2013-02-03T16:45:44Z</dcterms:created>
  <dcterms:modified xsi:type="dcterms:W3CDTF">2017-04-22T11:32:34Z</dcterms:modified>
</cp:coreProperties>
</file>